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activeTab="2"/>
  </bookViews>
  <sheets>
    <sheet name="Zinsstrukturkurve" sheetId="1" r:id="rId1"/>
    <sheet name="Zinsstrukturen" sheetId="2" r:id="rId2"/>
    <sheet name="Caps" sheetId="3" r:id="rId3"/>
  </sheets>
  <definedNames>
    <definedName name="ZBAF">'Zinsstrukturen'!$A$11:$K$93</definedName>
  </definedNames>
  <calcPr fullCalcOnLoad="1"/>
</workbook>
</file>

<file path=xl/sharedStrings.xml><?xml version="1.0" encoding="utf-8"?>
<sst xmlns="http://schemas.openxmlformats.org/spreadsheetml/2006/main" count="67" uniqueCount="40">
  <si>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</si>
  <si>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</si>
  <si>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</si>
  <si>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</si>
  <si>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</si>
  <si>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</si>
  <si>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</si>
  <si>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</si>
  <si>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</si>
  <si>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</si>
  <si>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</si>
  <si>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</si>
  <si>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</si>
  <si>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www.uni-siegen.de/~banken</t>
  </si>
  <si>
    <t>Volumen</t>
  </si>
  <si>
    <t>Prof. Dr. Arnd Wiedemann</t>
  </si>
  <si>
    <t>Universität Siegen</t>
  </si>
  <si>
    <t>Forwards</t>
  </si>
  <si>
    <t>Basiszins</t>
  </si>
  <si>
    <t>EUR</t>
  </si>
  <si>
    <t>Jahr(e)</t>
  </si>
  <si>
    <t>Vorlaufzeit</t>
  </si>
  <si>
    <t>Volatilität</t>
  </si>
  <si>
    <t>Caplet</t>
  </si>
  <si>
    <t>%</t>
  </si>
  <si>
    <t>Caplet-Preis</t>
  </si>
  <si>
    <t>d1</t>
  </si>
  <si>
    <t>N(d1)</t>
  </si>
  <si>
    <t>d2</t>
  </si>
  <si>
    <t>N(d2)</t>
  </si>
  <si>
    <t>ln(1+z)</t>
  </si>
  <si>
    <t>e^-(rt)</t>
  </si>
  <si>
    <t>Cap-Preis</t>
  </si>
  <si>
    <t>Innerer Wert</t>
  </si>
  <si>
    <t>Zeitwert</t>
  </si>
  <si>
    <t>Forward Rate</t>
  </si>
  <si>
    <t>Berechnung im Detail</t>
  </si>
  <si>
    <t>Zeitwert und innerer Wert der einzelnen Caplets</t>
  </si>
  <si>
    <t>innerer Wert</t>
  </si>
  <si>
    <t>Jahr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</si>
</sst>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%"/>
    <numFmt numFmtId="166" formatCode="0.000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"/>
    <numFmt numFmtId="171" formatCode="#,##0.00_ ;[Red]\-#,##0.00\ "/>
    <numFmt numFmtId="172" formatCode="0.0"/>
    <numFmt numFmtId="173" formatCode="#,##0.0"/>
  </numFmts>
  <fonts count="18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sz val="12"/>
      <name val="Arial"/>
      <family val="2"/>
    </font>
    <font>
      <sz val="10"/>
      <color indexed="18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7"/>
      <name val="Arial"/>
      <family val="2"/>
    </font>
    <font>
      <sz val="18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8" fillId="2" borderId="0" xfId="18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0" fontId="10" fillId="3" borderId="0" xfId="18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0" fontId="13" fillId="3" borderId="0" xfId="18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166" fontId="12" fillId="4" borderId="5" xfId="0" applyNumberFormat="1" applyFont="1" applyFill="1" applyBorder="1" applyAlignment="1" applyProtection="1">
      <alignment/>
      <protection hidden="1" locked="0"/>
    </xf>
    <xf numFmtId="166" fontId="12" fillId="4" borderId="6" xfId="0" applyNumberFormat="1" applyFont="1" applyFill="1" applyBorder="1" applyAlignment="1" applyProtection="1">
      <alignment/>
      <protection hidden="1" locked="0"/>
    </xf>
    <xf numFmtId="0" fontId="7" fillId="5" borderId="7" xfId="0" applyFont="1" applyFill="1" applyBorder="1" applyAlignment="1" applyProtection="1">
      <alignment/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center"/>
      <protection hidden="1"/>
    </xf>
    <xf numFmtId="0" fontId="7" fillId="5" borderId="10" xfId="0" applyFont="1" applyFill="1" applyBorder="1" applyAlignment="1" applyProtection="1">
      <alignment/>
      <protection hidden="1"/>
    </xf>
    <xf numFmtId="0" fontId="7" fillId="5" borderId="11" xfId="0" applyFont="1" applyFill="1" applyBorder="1" applyAlignment="1" applyProtection="1">
      <alignment/>
      <protection hidden="1"/>
    </xf>
    <xf numFmtId="0" fontId="7" fillId="5" borderId="12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/>
      <protection hidden="1"/>
    </xf>
    <xf numFmtId="0" fontId="7" fillId="5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164" fontId="5" fillId="3" borderId="0" xfId="0" applyNumberFormat="1" applyFont="1" applyFill="1" applyAlignment="1" applyProtection="1">
      <alignment/>
      <protection hidden="1"/>
    </xf>
    <xf numFmtId="164" fontId="4" fillId="3" borderId="0" xfId="0" applyNumberFormat="1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0" fontId="12" fillId="3" borderId="0" xfId="0" applyNumberFormat="1" applyFont="1" applyFill="1" applyBorder="1" applyAlignment="1" applyProtection="1">
      <alignment/>
      <protection hidden="1"/>
    </xf>
    <xf numFmtId="10" fontId="14" fillId="3" borderId="0" xfId="0" applyNumberFormat="1" applyFont="1" applyFill="1" applyBorder="1" applyAlignment="1" applyProtection="1">
      <alignment/>
      <protection hidden="1"/>
    </xf>
    <xf numFmtId="10" fontId="16" fillId="3" borderId="0" xfId="0" applyNumberFormat="1" applyFont="1" applyFill="1" applyBorder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6" fontId="0" fillId="3" borderId="5" xfId="0" applyNumberFormat="1" applyFill="1" applyBorder="1" applyAlignment="1" applyProtection="1">
      <alignment/>
      <protection hidden="1"/>
    </xf>
    <xf numFmtId="166" fontId="0" fillId="3" borderId="6" xfId="0" applyNumberForma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5" fillId="4" borderId="0" xfId="0" applyFont="1" applyFill="1" applyAlignment="1" applyProtection="1">
      <alignment/>
      <protection hidden="1"/>
    </xf>
    <xf numFmtId="3" fontId="15" fillId="4" borderId="0" xfId="0" applyNumberFormat="1" applyFont="1" applyFill="1" applyAlignment="1" applyProtection="1">
      <alignment/>
      <protection hidden="1"/>
    </xf>
    <xf numFmtId="172" fontId="15" fillId="4" borderId="0" xfId="0" applyNumberFormat="1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15" fillId="6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166" fontId="11" fillId="4" borderId="0" xfId="0" applyNumberFormat="1" applyFont="1" applyFill="1" applyAlignment="1" applyProtection="1">
      <alignment/>
      <protection hidden="1"/>
    </xf>
    <xf numFmtId="10" fontId="11" fillId="4" borderId="0" xfId="0" applyNumberFormat="1" applyFont="1" applyFill="1" applyAlignment="1" applyProtection="1">
      <alignment/>
      <protection hidden="1"/>
    </xf>
    <xf numFmtId="0" fontId="11" fillId="4" borderId="13" xfId="0" applyFont="1" applyFill="1" applyBorder="1" applyAlignment="1" applyProtection="1">
      <alignment/>
      <protection hidden="1"/>
    </xf>
    <xf numFmtId="0" fontId="11" fillId="4" borderId="13" xfId="0" applyFont="1" applyFill="1" applyBorder="1" applyAlignment="1" applyProtection="1">
      <alignment horizontal="right"/>
      <protection hidden="1"/>
    </xf>
    <xf numFmtId="0" fontId="0" fillId="6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/>
      <protection hidden="1"/>
    </xf>
    <xf numFmtId="0" fontId="7" fillId="6" borderId="0" xfId="0" applyFont="1" applyFill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3" fontId="11" fillId="4" borderId="0" xfId="0" applyNumberFormat="1" applyFont="1" applyFill="1" applyAlignment="1" applyProtection="1">
      <alignment/>
      <protection hidden="1"/>
    </xf>
    <xf numFmtId="3" fontId="0" fillId="4" borderId="0" xfId="0" applyNumberFormat="1" applyFill="1" applyAlignment="1" applyProtection="1">
      <alignment/>
      <protection hidden="1"/>
    </xf>
    <xf numFmtId="164" fontId="0" fillId="4" borderId="0" xfId="0" applyNumberFormat="1" applyFill="1" applyAlignment="1" applyProtection="1">
      <alignment/>
      <protection hidden="1"/>
    </xf>
    <xf numFmtId="165" fontId="0" fillId="4" borderId="0" xfId="0" applyNumberFormat="1" applyFill="1" applyAlignment="1" applyProtection="1">
      <alignment/>
      <protection hidden="1"/>
    </xf>
    <xf numFmtId="2" fontId="7" fillId="4" borderId="0" xfId="0" applyNumberFormat="1" applyFont="1" applyFill="1" applyAlignment="1" applyProtection="1">
      <alignment/>
      <protection hidden="1"/>
    </xf>
    <xf numFmtId="0" fontId="6" fillId="7" borderId="0" xfId="0" applyFont="1" applyFill="1" applyAlignment="1" applyProtection="1">
      <alignment/>
      <protection hidden="1"/>
    </xf>
    <xf numFmtId="0" fontId="2" fillId="8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 locked="0"/>
    </xf>
    <xf numFmtId="0" fontId="7" fillId="4" borderId="0" xfId="0" applyFont="1" applyFill="1" applyAlignment="1" applyProtection="1">
      <alignment/>
      <protection hidden="1" locked="0"/>
    </xf>
    <xf numFmtId="3" fontId="15" fillId="3" borderId="0" xfId="0" applyNumberFormat="1" applyFont="1" applyFill="1" applyAlignment="1" applyProtection="1">
      <alignment/>
      <protection locked="0"/>
    </xf>
    <xf numFmtId="9" fontId="2" fillId="3" borderId="0" xfId="0" applyNumberFormat="1" applyFont="1" applyFill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Zinsstrukturkurve!$B$11:$K$11</c:f>
              <c:numCache>
                <c:ptCount val="10"/>
                <c:pt idx="0">
                  <c:v>0.04555</c:v>
                </c:pt>
                <c:pt idx="1">
                  <c:v>0.04655</c:v>
                </c:pt>
                <c:pt idx="2">
                  <c:v>0.0478</c:v>
                </c:pt>
                <c:pt idx="3">
                  <c:v>0.04755</c:v>
                </c:pt>
                <c:pt idx="4">
                  <c:v>0.05025</c:v>
                </c:pt>
                <c:pt idx="5">
                  <c:v>0.05145</c:v>
                </c:pt>
                <c:pt idx="6">
                  <c:v>0.0526</c:v>
                </c:pt>
                <c:pt idx="7">
                  <c:v>0.0536</c:v>
                </c:pt>
                <c:pt idx="8">
                  <c:v>0.0544</c:v>
                </c:pt>
                <c:pt idx="9">
                  <c:v>0.0551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Zinsstrukturkurve!$B$12:$K$12</c:f>
              <c:numCache>
                <c:ptCount val="10"/>
                <c:pt idx="0">
                  <c:v>0.04554999999999998</c:v>
                </c:pt>
                <c:pt idx="1">
                  <c:v>0.04657329803897081</c:v>
                </c:pt>
                <c:pt idx="2">
                  <c:v>0.04787681538531574</c:v>
                </c:pt>
                <c:pt idx="3">
                  <c:v>0.04758885479599395</c:v>
                </c:pt>
                <c:pt idx="4">
                  <c:v>0.05057035091045048</c:v>
                </c:pt>
                <c:pt idx="5">
                  <c:v>0.051891398897681684</c:v>
                </c:pt>
                <c:pt idx="6">
                  <c:v>0.053189324051500675</c:v>
                </c:pt>
                <c:pt idx="7">
                  <c:v>0.054340318845813806</c:v>
                </c:pt>
                <c:pt idx="8">
                  <c:v>0.055272506116483155</c:v>
                </c:pt>
                <c:pt idx="9">
                  <c:v>0.056104766245960835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Zinsstrukturkurve!$B$13:$K$13</c:f>
              <c:numCache>
                <c:ptCount val="10"/>
                <c:pt idx="0">
                  <c:v>0.04759759759759787</c:v>
                </c:pt>
                <c:pt idx="1">
                  <c:v>0.04900756640238166</c:v>
                </c:pt>
                <c:pt idx="2">
                  <c:v>0.048282232013083334</c:v>
                </c:pt>
                <c:pt idx="3">
                  <c:v>0.051574552151298254</c:v>
                </c:pt>
                <c:pt idx="4">
                  <c:v>0.0528156790582631</c:v>
                </c:pt>
                <c:pt idx="5">
                  <c:v>0.05399669251177207</c:v>
                </c:pt>
                <c:pt idx="6">
                  <c:v>0.055004314033821014</c:v>
                </c:pt>
                <c:pt idx="7">
                  <c:v>0.055787887160417646</c:v>
                </c:pt>
                <c:pt idx="8">
                  <c:v>0.05646773963102245</c:v>
                </c:pt>
              </c:numCache>
            </c:numRef>
          </c:val>
          <c:smooth val="0"/>
        </c:ser>
        <c:axId val="18838413"/>
        <c:axId val="35327990"/>
      </c:lineChart>
      <c:catAx>
        <c:axId val="1883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27990"/>
        <c:crosses val="autoZero"/>
        <c:auto val="1"/>
        <c:lblOffset val="100"/>
        <c:noMultiLvlLbl val="0"/>
      </c:catAx>
      <c:valAx>
        <c:axId val="3532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3841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Caps!$E$25:$E$33</c:f>
              <c:numCache/>
            </c:numRef>
          </c:val>
        </c:ser>
        <c:ser>
          <c:idx val="2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Caps!$G$25:$G$33</c:f>
              <c:numCache/>
            </c:numRef>
          </c:val>
        </c:ser>
        <c:overlap val="100"/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16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chart" Target="/xl/charts/chart2.xml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704850</xdr:colOff>
      <xdr:row>37</xdr:row>
      <xdr:rowOff>0</xdr:rowOff>
    </xdr:to>
    <xdr:graphicFrame>
      <xdr:nvGraphicFramePr>
        <xdr:cNvPr id="1" name="Chart 8"/>
        <xdr:cNvGraphicFramePr/>
      </xdr:nvGraphicFramePr>
      <xdr:xfrm>
        <a:off x="0" y="2105025"/>
        <a:ext cx="7991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542925</xdr:colOff>
      <xdr:row>8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1</xdr:col>
      <xdr:colOff>638175</xdr:colOff>
      <xdr:row>8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571500</xdr:colOff>
      <xdr:row>9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3114675" cy="1571625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Zeitwert und innerer Wert von Caps
Bewertung mit dem Modell von Black (Black76)</a:t>
          </a:r>
        </a:p>
      </xdr:txBody>
    </xdr:sp>
    <xdr:clientData/>
  </xdr:twoCellAnchor>
  <xdr:twoCellAnchor editAs="oneCell">
    <xdr:from>
      <xdr:col>2</xdr:col>
      <xdr:colOff>514350</xdr:colOff>
      <xdr:row>11</xdr:row>
      <xdr:rowOff>38100</xdr:rowOff>
    </xdr:from>
    <xdr:to>
      <xdr:col>3</xdr:col>
      <xdr:colOff>552450</xdr:colOff>
      <xdr:row>11</xdr:row>
      <xdr:rowOff>190500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857375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13</xdr:row>
      <xdr:rowOff>47625</xdr:rowOff>
    </xdr:from>
    <xdr:to>
      <xdr:col>3</xdr:col>
      <xdr:colOff>552450</xdr:colOff>
      <xdr:row>13</xdr:row>
      <xdr:rowOff>200025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2669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3</xdr:row>
      <xdr:rowOff>95250</xdr:rowOff>
    </xdr:from>
    <xdr:to>
      <xdr:col>10</xdr:col>
      <xdr:colOff>552450</xdr:colOff>
      <xdr:row>18</xdr:row>
      <xdr:rowOff>190500</xdr:rowOff>
    </xdr:to>
    <xdr:graphicFrame>
      <xdr:nvGraphicFramePr>
        <xdr:cNvPr id="4" name="Chart 8"/>
        <xdr:cNvGraphicFramePr/>
      </xdr:nvGraphicFramePr>
      <xdr:xfrm>
        <a:off x="3752850" y="619125"/>
        <a:ext cx="47244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3</xdr:row>
      <xdr:rowOff>133350</xdr:rowOff>
    </xdr:from>
    <xdr:to>
      <xdr:col>3</xdr:col>
      <xdr:colOff>695325</xdr:colOff>
      <xdr:row>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7225"/>
          <a:ext cx="3238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showRowColHeaders="0" workbookViewId="0" topLeftCell="A1">
      <selection activeCell="B11" sqref="B11"/>
    </sheetView>
  </sheetViews>
  <sheetFormatPr defaultColWidth="11.421875" defaultRowHeight="12.75"/>
  <cols>
    <col min="1" max="1" width="12.8515625" style="3" customWidth="1"/>
    <col min="2" max="11" width="10.7109375" style="3" customWidth="1"/>
    <col min="12" max="16384" width="11.421875" style="3" customWidth="1"/>
  </cols>
  <sheetData>
    <row r="1" s="1" customFormat="1" ht="12.75">
      <c r="C1" s="5"/>
    </row>
    <row r="2" s="1" customFormat="1" ht="12.75">
      <c r="C2" s="1" t="s">
        <v>15</v>
      </c>
    </row>
    <row r="3" s="1" customFormat="1" ht="12.75">
      <c r="C3" s="1" t="s">
        <v>10</v>
      </c>
    </row>
    <row r="4" s="1" customFormat="1" ht="12.75">
      <c r="C4" s="1" t="s">
        <v>16</v>
      </c>
    </row>
    <row r="5" s="1" customFormat="1" ht="12.75">
      <c r="C5" s="2" t="s">
        <v>13</v>
      </c>
    </row>
    <row r="6" s="1" customFormat="1" ht="12.75">
      <c r="C6" s="2" t="s">
        <v>12</v>
      </c>
    </row>
    <row r="7" s="1" customFormat="1" ht="12.75">
      <c r="C7" s="2"/>
    </row>
    <row r="8" s="1" customFormat="1" ht="12.75">
      <c r="C8" s="2"/>
    </row>
    <row r="9" ht="12.75"/>
    <row r="10" spans="1:11" s="33" customFormat="1" ht="12.75">
      <c r="A10" s="25" t="s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</row>
    <row r="11" spans="1:11" s="33" customFormat="1" ht="12.75">
      <c r="A11" s="25" t="s">
        <v>3</v>
      </c>
      <c r="B11" s="34">
        <f>Zinsstrukturen!B13</f>
        <v>0.04555</v>
      </c>
      <c r="C11" s="34">
        <f>Zinsstrukturen!C13</f>
        <v>0.04655</v>
      </c>
      <c r="D11" s="34">
        <f>Zinsstrukturen!D13</f>
        <v>0.0478</v>
      </c>
      <c r="E11" s="34">
        <f>Zinsstrukturen!E13</f>
        <v>0.04755</v>
      </c>
      <c r="F11" s="34">
        <f>Zinsstrukturen!F13</f>
        <v>0.05025</v>
      </c>
      <c r="G11" s="34">
        <f>Zinsstrukturen!G13</f>
        <v>0.05145</v>
      </c>
      <c r="H11" s="34">
        <f>Zinsstrukturen!H13</f>
        <v>0.0526</v>
      </c>
      <c r="I11" s="34">
        <f>Zinsstrukturen!I13</f>
        <v>0.0536</v>
      </c>
      <c r="J11" s="34">
        <f>Zinsstrukturen!J13</f>
        <v>0.0544</v>
      </c>
      <c r="K11" s="34">
        <f>Zinsstrukturen!K13</f>
        <v>0.0551</v>
      </c>
    </row>
    <row r="12" spans="1:11" s="33" customFormat="1" ht="12.75">
      <c r="A12" s="25" t="s">
        <v>4</v>
      </c>
      <c r="B12" s="35">
        <f>Zinsstrukturen!B16</f>
        <v>0.04554999999999998</v>
      </c>
      <c r="C12" s="35">
        <f>Zinsstrukturen!C16</f>
        <v>0.04657329803897081</v>
      </c>
      <c r="D12" s="35">
        <f>Zinsstrukturen!D16</f>
        <v>0.04787681538531574</v>
      </c>
      <c r="E12" s="35">
        <f>Zinsstrukturen!E16</f>
        <v>0.04758885479599395</v>
      </c>
      <c r="F12" s="35">
        <f>Zinsstrukturen!F16</f>
        <v>0.05057035091045048</v>
      </c>
      <c r="G12" s="35">
        <f>Zinsstrukturen!G16</f>
        <v>0.051891398897681684</v>
      </c>
      <c r="H12" s="35">
        <f>Zinsstrukturen!H16</f>
        <v>0.053189324051500675</v>
      </c>
      <c r="I12" s="35">
        <f>Zinsstrukturen!I16</f>
        <v>0.054340318845813806</v>
      </c>
      <c r="J12" s="35">
        <f>Zinsstrukturen!J16</f>
        <v>0.055272506116483155</v>
      </c>
      <c r="K12" s="35">
        <f>Zinsstrukturen!K16</f>
        <v>0.056104766245960835</v>
      </c>
    </row>
    <row r="13" spans="1:11" s="33" customFormat="1" ht="12.75">
      <c r="A13" s="25" t="s">
        <v>17</v>
      </c>
      <c r="B13" s="36">
        <f>Zinsstrukturen!B82</f>
        <v>0.04759759759759787</v>
      </c>
      <c r="C13" s="36">
        <f>Zinsstrukturen!C82</f>
        <v>0.04900756640238166</v>
      </c>
      <c r="D13" s="36">
        <f>Zinsstrukturen!D82</f>
        <v>0.048282232013083334</v>
      </c>
      <c r="E13" s="36">
        <f>Zinsstrukturen!E82</f>
        <v>0.051574552151298254</v>
      </c>
      <c r="F13" s="36">
        <f>Zinsstrukturen!F82</f>
        <v>0.0528156790582631</v>
      </c>
      <c r="G13" s="36">
        <f>Zinsstrukturen!G82</f>
        <v>0.05399669251177207</v>
      </c>
      <c r="H13" s="36">
        <f>Zinsstrukturen!H82</f>
        <v>0.055004314033821014</v>
      </c>
      <c r="I13" s="36">
        <f>Zinsstrukturen!I82</f>
        <v>0.055787887160417646</v>
      </c>
      <c r="J13" s="36">
        <f>Zinsstrukturen!J82</f>
        <v>0.05646773963102245</v>
      </c>
      <c r="K13" s="29"/>
    </row>
    <row r="14" spans="1:11" ht="12.75">
      <c r="A14" s="27" t="s">
        <v>1</v>
      </c>
      <c r="B14" s="28">
        <f>A26</f>
        <v>0.9564344125101621</v>
      </c>
      <c r="C14" s="28">
        <f>A25</f>
        <v>0.9129788142923432</v>
      </c>
      <c r="D14" s="28">
        <f>A24</f>
        <v>0.8690991102871158</v>
      </c>
      <c r="E14" s="28">
        <f>A23</f>
        <v>0.8303028384052202</v>
      </c>
      <c r="F14" s="28">
        <f>A22</f>
        <v>0.781401606694963</v>
      </c>
      <c r="G14" s="28">
        <f>A21</f>
        <v>0.738200909749712</v>
      </c>
      <c r="H14" s="28">
        <f>A20</f>
        <v>0.6957526405129979</v>
      </c>
      <c r="I14" s="28">
        <f>A19</f>
        <v>0.6548675685084895</v>
      </c>
      <c r="J14" s="28">
        <f>A18</f>
        <v>0.6161953131522392</v>
      </c>
      <c r="K14" s="28">
        <f>A17</f>
        <v>0.5793352761845898</v>
      </c>
    </row>
    <row r="15" spans="1:11" ht="12.75">
      <c r="A15" s="27" t="s">
        <v>2</v>
      </c>
      <c r="B15" s="28">
        <f>1/B14</f>
        <v>1.04555</v>
      </c>
      <c r="C15" s="28">
        <f aca="true" t="shared" si="0" ref="C15:K15">1/C14</f>
        <v>1.0953156681681684</v>
      </c>
      <c r="D15" s="28">
        <f t="shared" si="0"/>
        <v>1.150616757241461</v>
      </c>
      <c r="E15" s="28">
        <f t="shared" si="0"/>
        <v>1.2043798403974153</v>
      </c>
      <c r="F15" s="28">
        <f t="shared" si="0"/>
        <v>1.2797516557837993</v>
      </c>
      <c r="G15" s="28">
        <f t="shared" si="0"/>
        <v>1.35464476783028</v>
      </c>
      <c r="H15" s="28">
        <f t="shared" si="0"/>
        <v>1.4372924251680483</v>
      </c>
      <c r="I15" s="28">
        <f t="shared" si="0"/>
        <v>1.5270262998022268</v>
      </c>
      <c r="J15" s="28">
        <f t="shared" si="0"/>
        <v>1.6228620676849206</v>
      </c>
      <c r="K15" s="28">
        <f t="shared" si="0"/>
        <v>1.7261161905862894</v>
      </c>
    </row>
    <row r="16" spans="1:11" ht="12.75">
      <c r="A16" s="27" t="s">
        <v>4</v>
      </c>
      <c r="B16" s="29">
        <f>B15-1</f>
        <v>0.04554999999999998</v>
      </c>
      <c r="C16" s="29">
        <f>(C15)^(1/2)-1</f>
        <v>0.04657329803897081</v>
      </c>
      <c r="D16" s="29">
        <f>(D15)^(1/3)-1</f>
        <v>0.04787681538531574</v>
      </c>
      <c r="E16" s="29">
        <f>(E15)^(1/4)-1</f>
        <v>0.04758885479599395</v>
      </c>
      <c r="F16" s="29">
        <f>(F15)^(1/5)-1</f>
        <v>0.05057035091045048</v>
      </c>
      <c r="G16" s="29">
        <f>(G15)^(1/6)-1</f>
        <v>0.051891398897681684</v>
      </c>
      <c r="H16" s="29">
        <f>(H15)^(1/7)-1</f>
        <v>0.053189324051500675</v>
      </c>
      <c r="I16" s="29">
        <f>(I15)^(1/8)-1</f>
        <v>0.054340318845813806</v>
      </c>
      <c r="J16" s="29">
        <f>(J15)^(1/9)-1</f>
        <v>0.055272506116483155</v>
      </c>
      <c r="K16" s="29">
        <f>(K15)^(1/10)-1</f>
        <v>0.056104766245960835</v>
      </c>
    </row>
    <row r="17" spans="1:11" ht="12.75">
      <c r="A17" s="30">
        <f>bar(K17,K11)-J17*(SUM(B14:J14))</f>
        <v>0.5793352761845898</v>
      </c>
      <c r="B17" s="31"/>
      <c r="C17" s="31"/>
      <c r="D17" s="31"/>
      <c r="E17" s="31"/>
      <c r="F17" s="31"/>
      <c r="G17" s="31"/>
      <c r="H17" s="31"/>
      <c r="I17" s="31"/>
      <c r="J17" s="31">
        <f>1-bar(K17,K$11)</f>
        <v>0.052222538148042785</v>
      </c>
      <c r="K17" s="31">
        <v>1</v>
      </c>
    </row>
    <row r="18" spans="1:11" ht="12.75">
      <c r="A18" s="30">
        <f>bar(J18,J11)-I18*(SUM(B14:I14))</f>
        <v>0.6161953131522392</v>
      </c>
      <c r="B18" s="31"/>
      <c r="C18" s="31"/>
      <c r="D18" s="31"/>
      <c r="E18" s="31"/>
      <c r="F18" s="31"/>
      <c r="G18" s="31"/>
      <c r="H18" s="31"/>
      <c r="I18" s="31">
        <f>1-bar(J18,J$11)</f>
        <v>0.0515933232169955</v>
      </c>
      <c r="J18" s="31">
        <v>1</v>
      </c>
      <c r="K18" s="31"/>
    </row>
    <row r="19" spans="1:11" ht="12.75">
      <c r="A19" s="30">
        <f>bar(I19,I11)-H19*(SUM(B14:H14))</f>
        <v>0.6548675685084895</v>
      </c>
      <c r="B19" s="31"/>
      <c r="C19" s="31"/>
      <c r="D19" s="31"/>
      <c r="E19" s="31"/>
      <c r="F19" s="31"/>
      <c r="G19" s="31"/>
      <c r="H19" s="31">
        <f>1-bar(I19,I$11)</f>
        <v>0.05087319665907375</v>
      </c>
      <c r="I19" s="31">
        <v>1</v>
      </c>
      <c r="J19" s="31"/>
      <c r="K19" s="31"/>
    </row>
    <row r="20" spans="1:11" ht="12.75">
      <c r="A20" s="30">
        <f>bar(H20,H11)-G20*(SUM(B14:G14))</f>
        <v>0.6957526405129979</v>
      </c>
      <c r="B20" s="31"/>
      <c r="C20" s="31"/>
      <c r="D20" s="31"/>
      <c r="E20" s="31"/>
      <c r="F20" s="31"/>
      <c r="G20" s="31">
        <f>1-bar(H20,H$11)</f>
        <v>0.04997149914497434</v>
      </c>
      <c r="H20" s="31">
        <v>1</v>
      </c>
      <c r="I20" s="31"/>
      <c r="J20" s="31"/>
      <c r="K20" s="31"/>
    </row>
    <row r="21" spans="1:11" ht="12.75">
      <c r="A21" s="30">
        <f>bar(G21,G11)-F21*(SUM(B14:F14))</f>
        <v>0.738200909749712</v>
      </c>
      <c r="B21" s="31"/>
      <c r="C21" s="31"/>
      <c r="D21" s="31"/>
      <c r="E21" s="31"/>
      <c r="F21" s="31">
        <f>1-bar(G21,G$11)</f>
        <v>0.048932426648913396</v>
      </c>
      <c r="G21" s="31">
        <v>1</v>
      </c>
      <c r="H21" s="31"/>
      <c r="I21" s="31"/>
      <c r="J21" s="31"/>
      <c r="K21" s="31"/>
    </row>
    <row r="22" spans="1:11" ht="12.75">
      <c r="A22" s="30">
        <f>bar(F22,F11)-E22*(SUM(B14:E14))</f>
        <v>0.781401606694963</v>
      </c>
      <c r="B22" s="31"/>
      <c r="C22" s="31"/>
      <c r="D22" s="31"/>
      <c r="E22" s="31">
        <f>1-bar(F22,F11)</f>
        <v>0.04784575101166377</v>
      </c>
      <c r="F22" s="31">
        <v>1</v>
      </c>
      <c r="G22" s="31"/>
      <c r="H22" s="31"/>
      <c r="I22" s="31"/>
      <c r="J22" s="31"/>
      <c r="K22" s="31"/>
    </row>
    <row r="23" spans="1:11" ht="12.75">
      <c r="A23" s="30">
        <f>bar(E23,E11)-D23*(SUM(B14:D14))</f>
        <v>0.8303028384052202</v>
      </c>
      <c r="B23" s="31"/>
      <c r="C23" s="31"/>
      <c r="D23" s="31">
        <f>1-bar(E23,E11)</f>
        <v>0.045391628084578306</v>
      </c>
      <c r="E23" s="31">
        <v>1</v>
      </c>
      <c r="F23" s="31"/>
      <c r="G23" s="31"/>
      <c r="H23" s="31"/>
      <c r="I23" s="31"/>
      <c r="J23" s="31"/>
      <c r="K23" s="31"/>
    </row>
    <row r="24" spans="1:11" ht="12.75">
      <c r="A24" s="30">
        <f>bar(D24,D11)-C24*(B14+C14)</f>
        <v>0.8690991102871158</v>
      </c>
      <c r="B24" s="31"/>
      <c r="C24" s="31">
        <f>1-bar(D24,D11)</f>
        <v>0.04561939301393403</v>
      </c>
      <c r="D24" s="31">
        <v>1</v>
      </c>
      <c r="E24" s="31"/>
      <c r="F24" s="31"/>
      <c r="G24" s="31"/>
      <c r="H24" s="31"/>
      <c r="I24" s="31"/>
      <c r="J24" s="31"/>
      <c r="K24" s="31"/>
    </row>
    <row r="25" spans="1:11" ht="12.75">
      <c r="A25" s="30">
        <f>bar(C25,C11)-B25*B14</f>
        <v>0.9129788142923432</v>
      </c>
      <c r="B25" s="31">
        <f>1-bar(C25,C11)</f>
        <v>0.04447948019683734</v>
      </c>
      <c r="C25" s="31">
        <v>1</v>
      </c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30">
        <f>bar(B26,B11)</f>
        <v>0.9564344125101621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200" verticalDpi="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1"/>
  <sheetViews>
    <sheetView showGridLines="0" showRowColHeaders="0" workbookViewId="0" topLeftCell="A1">
      <pane ySplit="18" topLeftCell="BM77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3" customWidth="1"/>
  </cols>
  <sheetData>
    <row r="1" spans="3:7" s="4" customFormat="1" ht="12.75">
      <c r="C1" s="5"/>
      <c r="E1" s="1"/>
      <c r="G1" s="15"/>
    </row>
    <row r="2" spans="3:4" s="4" customFormat="1" ht="12.75">
      <c r="C2" s="1" t="s">
        <v>15</v>
      </c>
      <c r="D2" s="1"/>
    </row>
    <row r="3" spans="3:4" s="4" customFormat="1" ht="12.75">
      <c r="C3" s="1" t="s">
        <v>10</v>
      </c>
      <c r="D3" s="1"/>
    </row>
    <row r="4" spans="3:4" s="4" customFormat="1" ht="12.75">
      <c r="C4" s="1" t="s">
        <v>16</v>
      </c>
      <c r="D4" s="1"/>
    </row>
    <row r="5" spans="3:4" s="4" customFormat="1" ht="12.75">
      <c r="C5" s="2" t="s">
        <v>13</v>
      </c>
      <c r="D5" s="1"/>
    </row>
    <row r="6" spans="3:4" s="4" customFormat="1" ht="12.75">
      <c r="C6" s="2" t="s">
        <v>12</v>
      </c>
      <c r="D6" s="1"/>
    </row>
    <row r="7" spans="3:5" s="4" customFormat="1" ht="12.75">
      <c r="C7" s="5"/>
      <c r="E7" s="1"/>
    </row>
    <row r="8" spans="3:5" s="4" customFormat="1" ht="12.75">
      <c r="C8" s="5"/>
      <c r="E8" s="1"/>
    </row>
    <row r="9" spans="3:5" s="4" customFormat="1" ht="12.75">
      <c r="C9" s="5"/>
      <c r="E9" s="1"/>
    </row>
    <row r="10" s="6" customFormat="1" ht="12.75">
      <c r="C10" s="14"/>
    </row>
    <row r="11" ht="13.5" thickBot="1"/>
    <row r="12" spans="1:11" ht="12.75">
      <c r="A12" s="18" t="s">
        <v>0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20">
        <v>10</v>
      </c>
    </row>
    <row r="13" spans="1:11" ht="13.5" thickBot="1">
      <c r="A13" s="21" t="s">
        <v>3</v>
      </c>
      <c r="B13" s="16">
        <v>0.04555</v>
      </c>
      <c r="C13" s="16">
        <v>0.04655</v>
      </c>
      <c r="D13" s="16">
        <v>0.0478</v>
      </c>
      <c r="E13" s="16">
        <v>0.04755</v>
      </c>
      <c r="F13" s="16">
        <v>0.05025</v>
      </c>
      <c r="G13" s="16">
        <v>0.05145</v>
      </c>
      <c r="H13" s="16">
        <v>0.0526</v>
      </c>
      <c r="I13" s="16">
        <v>0.0536</v>
      </c>
      <c r="J13" s="16">
        <v>0.0544</v>
      </c>
      <c r="K13" s="17">
        <v>0.0551</v>
      </c>
    </row>
    <row r="14" spans="1:11" ht="12.75">
      <c r="A14" s="22" t="s">
        <v>1</v>
      </c>
      <c r="B14" s="7">
        <f>Zinsstrukturkurve!B14</f>
        <v>0.9564344125101621</v>
      </c>
      <c r="C14" s="7">
        <f>Zinsstrukturkurve!C14</f>
        <v>0.9129788142923432</v>
      </c>
      <c r="D14" s="7">
        <f>Zinsstrukturkurve!D14</f>
        <v>0.8690991102871158</v>
      </c>
      <c r="E14" s="7">
        <f>Zinsstrukturkurve!E14</f>
        <v>0.8303028384052202</v>
      </c>
      <c r="F14" s="7">
        <f>Zinsstrukturkurve!F14</f>
        <v>0.781401606694963</v>
      </c>
      <c r="G14" s="7">
        <f>Zinsstrukturkurve!G14</f>
        <v>0.738200909749712</v>
      </c>
      <c r="H14" s="7">
        <f>Zinsstrukturkurve!H14</f>
        <v>0.6957526405129979</v>
      </c>
      <c r="I14" s="7">
        <f>Zinsstrukturkurve!I14</f>
        <v>0.6548675685084895</v>
      </c>
      <c r="J14" s="7">
        <f>Zinsstrukturkurve!J14</f>
        <v>0.6161953131522392</v>
      </c>
      <c r="K14" s="8">
        <f>Zinsstrukturkurve!K14</f>
        <v>0.5793352761845898</v>
      </c>
    </row>
    <row r="15" spans="1:11" ht="12.75">
      <c r="A15" s="21" t="s">
        <v>2</v>
      </c>
      <c r="B15" s="9">
        <f>Zinsstrukturkurve!B15</f>
        <v>1.04555</v>
      </c>
      <c r="C15" s="9">
        <f>Zinsstrukturkurve!C15</f>
        <v>1.0953156681681684</v>
      </c>
      <c r="D15" s="9">
        <f>Zinsstrukturkurve!D15</f>
        <v>1.150616757241461</v>
      </c>
      <c r="E15" s="9">
        <f>Zinsstrukturkurve!E15</f>
        <v>1.2043798403974153</v>
      </c>
      <c r="F15" s="9">
        <f>Zinsstrukturkurve!F15</f>
        <v>1.2797516557837993</v>
      </c>
      <c r="G15" s="9">
        <f>Zinsstrukturkurve!G15</f>
        <v>1.35464476783028</v>
      </c>
      <c r="H15" s="9">
        <f>Zinsstrukturkurve!H15</f>
        <v>1.4372924251680483</v>
      </c>
      <c r="I15" s="9">
        <f>Zinsstrukturkurve!I15</f>
        <v>1.5270262998022268</v>
      </c>
      <c r="J15" s="9">
        <f>Zinsstrukturkurve!J15</f>
        <v>1.6228620676849206</v>
      </c>
      <c r="K15" s="10">
        <f>Zinsstrukturkurve!K15</f>
        <v>1.7261161905862894</v>
      </c>
    </row>
    <row r="16" spans="1:11" ht="13.5" thickBot="1">
      <c r="A16" s="23" t="s">
        <v>4</v>
      </c>
      <c r="B16" s="38">
        <f>Zinsstrukturkurve!B16</f>
        <v>0.04554999999999998</v>
      </c>
      <c r="C16" s="38">
        <f>Zinsstrukturkurve!C16</f>
        <v>0.04657329803897081</v>
      </c>
      <c r="D16" s="38">
        <f>Zinsstrukturkurve!D16</f>
        <v>0.04787681538531574</v>
      </c>
      <c r="E16" s="38">
        <f>Zinsstrukturkurve!E16</f>
        <v>0.04758885479599395</v>
      </c>
      <c r="F16" s="38">
        <f>Zinsstrukturkurve!F16</f>
        <v>0.05057035091045048</v>
      </c>
      <c r="G16" s="38">
        <f>Zinsstrukturkurve!G16</f>
        <v>0.051891398897681684</v>
      </c>
      <c r="H16" s="38">
        <f>Zinsstrukturkurve!H16</f>
        <v>0.053189324051500675</v>
      </c>
      <c r="I16" s="38">
        <f>Zinsstrukturkurve!I16</f>
        <v>0.054340318845813806</v>
      </c>
      <c r="J16" s="38">
        <f>Zinsstrukturkurve!J16</f>
        <v>0.055272506116483155</v>
      </c>
      <c r="K16" s="39">
        <f>Zinsstrukturkurve!K16</f>
        <v>0.056104766245960835</v>
      </c>
    </row>
    <row r="18" ht="27.75" customHeight="1">
      <c r="B18" s="11"/>
    </row>
    <row r="20" ht="18">
      <c r="A20" s="12" t="s">
        <v>7</v>
      </c>
    </row>
    <row r="21" spans="1:11" ht="12.75">
      <c r="A21" s="24" t="s">
        <v>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</row>
    <row r="22" ht="12.75">
      <c r="A22" s="26" t="s">
        <v>5</v>
      </c>
    </row>
    <row r="23" spans="1:11" ht="12.75">
      <c r="A23" s="25">
        <v>0</v>
      </c>
      <c r="B23" s="13">
        <f>B14</f>
        <v>0.9564344125101621</v>
      </c>
      <c r="C23" s="13">
        <f>C14</f>
        <v>0.9129788142923432</v>
      </c>
      <c r="D23" s="13">
        <f aca="true" t="shared" si="0" ref="D23:K23">D14</f>
        <v>0.8690991102871158</v>
      </c>
      <c r="E23" s="13">
        <f t="shared" si="0"/>
        <v>0.8303028384052202</v>
      </c>
      <c r="F23" s="13">
        <f t="shared" si="0"/>
        <v>0.781401606694963</v>
      </c>
      <c r="G23" s="13">
        <f t="shared" si="0"/>
        <v>0.738200909749712</v>
      </c>
      <c r="H23" s="13">
        <f t="shared" si="0"/>
        <v>0.6957526405129979</v>
      </c>
      <c r="I23" s="13">
        <f t="shared" si="0"/>
        <v>0.6548675685084895</v>
      </c>
      <c r="J23" s="13">
        <f t="shared" si="0"/>
        <v>0.6161953131522392</v>
      </c>
      <c r="K23" s="13">
        <f t="shared" si="0"/>
        <v>0.5793352761845898</v>
      </c>
    </row>
    <row r="24" spans="1:11" ht="12.75">
      <c r="A24" s="25">
        <v>1</v>
      </c>
      <c r="B24" s="13">
        <f>C23/B23</f>
        <v>0.9545649992833594</v>
      </c>
      <c r="C24" s="13">
        <f>D23/B23</f>
        <v>0.9086865747606939</v>
      </c>
      <c r="D24" s="13">
        <f>E23/$B$23</f>
        <v>0.868123132694578</v>
      </c>
      <c r="E24" s="13">
        <f aca="true" t="shared" si="1" ref="E24:J24">F23/$B$23</f>
        <v>0.8169944498799184</v>
      </c>
      <c r="F24" s="13">
        <f t="shared" si="1"/>
        <v>0.7718259611888113</v>
      </c>
      <c r="G24" s="13">
        <f t="shared" si="1"/>
        <v>0.727444173288365</v>
      </c>
      <c r="H24" s="13">
        <f t="shared" si="1"/>
        <v>0.6846967862540512</v>
      </c>
      <c r="I24" s="13">
        <f t="shared" si="1"/>
        <v>0.6442630096663237</v>
      </c>
      <c r="J24" s="13">
        <f t="shared" si="1"/>
        <v>0.6057239980147978</v>
      </c>
      <c r="K24" s="13"/>
    </row>
    <row r="25" spans="1:11" ht="12.75">
      <c r="A25" s="25">
        <v>2</v>
      </c>
      <c r="B25" s="13">
        <f>D23/$C$23</f>
        <v>0.951937872688493</v>
      </c>
      <c r="C25" s="13">
        <f aca="true" t="shared" si="2" ref="C25:I25">E23/$C$23</f>
        <v>0.9094437082297405</v>
      </c>
      <c r="D25" s="13">
        <f t="shared" si="2"/>
        <v>0.8558814229447737</v>
      </c>
      <c r="E25" s="13">
        <f t="shared" si="2"/>
        <v>0.8085630227048556</v>
      </c>
      <c r="F25" s="13">
        <f t="shared" si="2"/>
        <v>0.7620687683232618</v>
      </c>
      <c r="G25" s="13">
        <f t="shared" si="2"/>
        <v>0.7172867083625399</v>
      </c>
      <c r="H25" s="13">
        <f t="shared" si="2"/>
        <v>0.6749283811474386</v>
      </c>
      <c r="I25" s="13">
        <f t="shared" si="2"/>
        <v>0.6345550051275144</v>
      </c>
      <c r="J25" s="13"/>
      <c r="K25" s="13"/>
    </row>
    <row r="26" spans="1:11" ht="12.75">
      <c r="A26" s="25">
        <v>3</v>
      </c>
      <c r="B26" s="13">
        <f>E23/$D$23</f>
        <v>0.9553603594541952</v>
      </c>
      <c r="C26" s="13">
        <f aca="true" t="shared" si="3" ref="C26:H26">F23/$D$23</f>
        <v>0.8990937827986256</v>
      </c>
      <c r="D26" s="13">
        <f t="shared" si="3"/>
        <v>0.8493863369689099</v>
      </c>
      <c r="E26" s="13">
        <f t="shared" si="3"/>
        <v>0.8005446470692495</v>
      </c>
      <c r="F26" s="13">
        <f t="shared" si="3"/>
        <v>0.7535015980998384</v>
      </c>
      <c r="G26" s="13">
        <f t="shared" si="3"/>
        <v>0.709004653046616</v>
      </c>
      <c r="H26" s="13">
        <f t="shared" si="3"/>
        <v>0.6665928768390988</v>
      </c>
      <c r="I26" s="13"/>
      <c r="J26" s="13"/>
      <c r="K26" s="13"/>
    </row>
    <row r="27" spans="1:11" ht="12.75">
      <c r="A27" s="25">
        <v>4</v>
      </c>
      <c r="B27" s="13">
        <f aca="true" t="shared" si="4" ref="B27:G27">F23/$E$23</f>
        <v>0.9411043423575634</v>
      </c>
      <c r="C27" s="13">
        <f t="shared" si="4"/>
        <v>0.8890742938655848</v>
      </c>
      <c r="D27" s="13">
        <f t="shared" si="4"/>
        <v>0.8379504541371247</v>
      </c>
      <c r="E27" s="13">
        <f t="shared" si="4"/>
        <v>0.788709297641698</v>
      </c>
      <c r="F27" s="13">
        <f t="shared" si="4"/>
        <v>0.7421332129079291</v>
      </c>
      <c r="G27" s="13">
        <f t="shared" si="4"/>
        <v>0.6977397274677888</v>
      </c>
      <c r="H27" s="13"/>
      <c r="I27" s="13"/>
      <c r="J27" s="13"/>
      <c r="K27" s="13"/>
    </row>
    <row r="28" spans="1:11" ht="12.75">
      <c r="A28" s="25">
        <v>5</v>
      </c>
      <c r="B28" s="13">
        <f>G23/$F$23</f>
        <v>0.944713836553301</v>
      </c>
      <c r="C28" s="13">
        <f>H23/$F$23</f>
        <v>0.8903905937124595</v>
      </c>
      <c r="D28" s="13">
        <f>I23/$F$23</f>
        <v>0.8380678551178501</v>
      </c>
      <c r="E28" s="13">
        <f>J23/$F$23</f>
        <v>0.7885769722927949</v>
      </c>
      <c r="F28" s="13">
        <f>K23/$F$23</f>
        <v>0.7414052789511935</v>
      </c>
      <c r="G28" s="13"/>
      <c r="H28" s="13"/>
      <c r="I28" s="13"/>
      <c r="J28" s="13"/>
      <c r="K28" s="13"/>
    </row>
    <row r="29" spans="1:11" ht="12.75">
      <c r="A29" s="25">
        <v>6</v>
      </c>
      <c r="B29" s="13">
        <f>H23/$G$23</f>
        <v>0.9424976741750343</v>
      </c>
      <c r="C29" s="13">
        <f>I23/$G$23</f>
        <v>0.8871129253017627</v>
      </c>
      <c r="D29" s="13">
        <f>J23/$G$23</f>
        <v>0.8347257569232217</v>
      </c>
      <c r="E29" s="13">
        <f>K23/$G$23</f>
        <v>0.7847935007029647</v>
      </c>
      <c r="F29" s="13"/>
      <c r="G29" s="13"/>
      <c r="H29" s="13"/>
      <c r="I29" s="13"/>
      <c r="J29" s="13"/>
      <c r="K29" s="13"/>
    </row>
    <row r="30" spans="1:11" ht="12.75">
      <c r="A30" s="25">
        <v>7</v>
      </c>
      <c r="B30" s="13">
        <f>I23/$H$23</f>
        <v>0.9412361957054698</v>
      </c>
      <c r="C30" s="13">
        <f>J23/$H$23</f>
        <v>0.8856528560177668</v>
      </c>
      <c r="D30" s="13">
        <f>K23/$H$23</f>
        <v>0.8326742040927501</v>
      </c>
      <c r="E30" s="13"/>
      <c r="F30" s="13"/>
      <c r="G30" s="13"/>
      <c r="H30" s="13"/>
      <c r="I30" s="13"/>
      <c r="J30" s="13"/>
      <c r="K30" s="13"/>
    </row>
    <row r="31" spans="1:11" ht="12.75">
      <c r="A31" s="25">
        <v>8</v>
      </c>
      <c r="B31" s="13">
        <f>J23/$I$23</f>
        <v>0.9409464489983382</v>
      </c>
      <c r="C31" s="13">
        <f>K23/$I$23</f>
        <v>0.8846602031370553</v>
      </c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25">
        <v>9</v>
      </c>
      <c r="B32" s="13">
        <f>K23/J23</f>
        <v>0.9401812441917379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25">
        <v>10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41" ht="18">
      <c r="A41" s="12" t="s">
        <v>11</v>
      </c>
    </row>
    <row r="42" spans="1:11" ht="12.75">
      <c r="A42" s="24" t="s">
        <v>6</v>
      </c>
      <c r="B42" s="25">
        <v>1</v>
      </c>
      <c r="C42" s="25">
        <v>2</v>
      </c>
      <c r="D42" s="25">
        <v>3</v>
      </c>
      <c r="E42" s="25">
        <v>4</v>
      </c>
      <c r="F42" s="25">
        <v>5</v>
      </c>
      <c r="G42" s="25">
        <v>6</v>
      </c>
      <c r="H42" s="25">
        <v>7</v>
      </c>
      <c r="I42" s="25">
        <v>8</v>
      </c>
      <c r="J42" s="25">
        <v>9</v>
      </c>
      <c r="K42" s="25">
        <v>10</v>
      </c>
    </row>
    <row r="43" ht="12.75">
      <c r="A43" s="26" t="s">
        <v>5</v>
      </c>
    </row>
    <row r="44" spans="1:11" ht="12.75">
      <c r="A44" s="25">
        <v>0</v>
      </c>
      <c r="B44" s="13">
        <f>B15</f>
        <v>1.04555</v>
      </c>
      <c r="C44" s="13">
        <f aca="true" t="shared" si="5" ref="C44:K44">C15</f>
        <v>1.0953156681681684</v>
      </c>
      <c r="D44" s="13">
        <f t="shared" si="5"/>
        <v>1.150616757241461</v>
      </c>
      <c r="E44" s="13">
        <f t="shared" si="5"/>
        <v>1.2043798403974153</v>
      </c>
      <c r="F44" s="13">
        <f t="shared" si="5"/>
        <v>1.2797516557837993</v>
      </c>
      <c r="G44" s="13">
        <f t="shared" si="5"/>
        <v>1.35464476783028</v>
      </c>
      <c r="H44" s="13">
        <f t="shared" si="5"/>
        <v>1.4372924251680483</v>
      </c>
      <c r="I44" s="13">
        <f t="shared" si="5"/>
        <v>1.5270262998022268</v>
      </c>
      <c r="J44" s="13">
        <f t="shared" si="5"/>
        <v>1.6228620676849206</v>
      </c>
      <c r="K44" s="13">
        <f t="shared" si="5"/>
        <v>1.7261161905862894</v>
      </c>
    </row>
    <row r="45" spans="1:11" ht="12.75">
      <c r="A45" s="25">
        <v>1</v>
      </c>
      <c r="B45" s="13">
        <f>C44/$B$44</f>
        <v>1.0475975975975977</v>
      </c>
      <c r="C45" s="13">
        <f aca="true" t="shared" si="6" ref="C45:J45">D44/$B$44</f>
        <v>1.1004894622365846</v>
      </c>
      <c r="D45" s="13">
        <f t="shared" si="6"/>
        <v>1.1519103250895848</v>
      </c>
      <c r="E45" s="13">
        <f t="shared" si="6"/>
        <v>1.2239985230584853</v>
      </c>
      <c r="F45" s="13">
        <f t="shared" si="6"/>
        <v>1.2956288726797187</v>
      </c>
      <c r="G45" s="13">
        <f t="shared" si="6"/>
        <v>1.3746759362709084</v>
      </c>
      <c r="H45" s="13">
        <f t="shared" si="6"/>
        <v>1.4605005019389095</v>
      </c>
      <c r="I45" s="13">
        <f t="shared" si="6"/>
        <v>1.552161128291254</v>
      </c>
      <c r="J45" s="13">
        <f t="shared" si="6"/>
        <v>1.6509169246676767</v>
      </c>
      <c r="K45" s="13"/>
    </row>
    <row r="46" spans="1:11" ht="12.75">
      <c r="A46" s="25">
        <v>2</v>
      </c>
      <c r="B46" s="13">
        <f>D44/$C$44</f>
        <v>1.0504887227312099</v>
      </c>
      <c r="C46" s="13">
        <f aca="true" t="shared" si="7" ref="C46:I46">E44/$C$44</f>
        <v>1.0995732786436339</v>
      </c>
      <c r="D46" s="13">
        <f t="shared" si="7"/>
        <v>1.168386149286156</v>
      </c>
      <c r="E46" s="13">
        <f t="shared" si="7"/>
        <v>1.2367619739210156</v>
      </c>
      <c r="F46" s="13">
        <f t="shared" si="7"/>
        <v>1.3122175341212912</v>
      </c>
      <c r="G46" s="13">
        <f t="shared" si="7"/>
        <v>1.3941426605866611</v>
      </c>
      <c r="H46" s="13">
        <f t="shared" si="7"/>
        <v>1.4816386863149993</v>
      </c>
      <c r="I46" s="13">
        <f t="shared" si="7"/>
        <v>1.5759075130122868</v>
      </c>
      <c r="J46" s="13"/>
      <c r="K46" s="13"/>
    </row>
    <row r="47" spans="1:11" ht="12.75">
      <c r="A47" s="25">
        <v>3</v>
      </c>
      <c r="B47" s="13">
        <f>E44/$D$44</f>
        <v>1.0467254477371322</v>
      </c>
      <c r="C47" s="13">
        <f aca="true" t="shared" si="8" ref="C47:H47">F44/$D$44</f>
        <v>1.1122310254301633</v>
      </c>
      <c r="D47" s="13">
        <f t="shared" si="8"/>
        <v>1.177320562476393</v>
      </c>
      <c r="E47" s="13">
        <f t="shared" si="8"/>
        <v>1.2491495679359617</v>
      </c>
      <c r="F47" s="13">
        <f t="shared" si="8"/>
        <v>1.327137198543142</v>
      </c>
      <c r="G47" s="13">
        <f t="shared" si="8"/>
        <v>1.4104279791436736</v>
      </c>
      <c r="H47" s="13">
        <f t="shared" si="8"/>
        <v>1.5001660454907297</v>
      </c>
      <c r="I47" s="13"/>
      <c r="J47" s="13"/>
      <c r="K47" s="13"/>
    </row>
    <row r="48" spans="1:11" ht="12.75">
      <c r="A48" s="25">
        <v>4</v>
      </c>
      <c r="B48" s="13">
        <f aca="true" t="shared" si="9" ref="B48:G48">F44/$E$44</f>
        <v>1.062581432251069</v>
      </c>
      <c r="C48" s="13">
        <f t="shared" si="9"/>
        <v>1.124765395760262</v>
      </c>
      <c r="D48" s="13">
        <f t="shared" si="9"/>
        <v>1.193387980235353</v>
      </c>
      <c r="E48" s="13">
        <f t="shared" si="9"/>
        <v>1.2678942710452097</v>
      </c>
      <c r="F48" s="13">
        <f t="shared" si="9"/>
        <v>1.3474669811389541</v>
      </c>
      <c r="G48" s="13">
        <f t="shared" si="9"/>
        <v>1.433199172461002</v>
      </c>
      <c r="H48" s="13"/>
      <c r="I48" s="13"/>
      <c r="J48" s="13"/>
      <c r="K48" s="13"/>
    </row>
    <row r="49" spans="1:11" ht="12.75">
      <c r="A49" s="25">
        <v>5</v>
      </c>
      <c r="B49" s="13">
        <f>G44/$F$44</f>
        <v>1.0585215980835059</v>
      </c>
      <c r="C49" s="13">
        <f>H44/$F$44</f>
        <v>1.1231026103168127</v>
      </c>
      <c r="D49" s="13">
        <f>I44/$F$44</f>
        <v>1.1932208041309242</v>
      </c>
      <c r="E49" s="13">
        <f>J44/$F$44</f>
        <v>1.2681070271333066</v>
      </c>
      <c r="F49" s="13">
        <f>K44/$F$44</f>
        <v>1.3487899646663155</v>
      </c>
      <c r="G49" s="13"/>
      <c r="H49" s="13"/>
      <c r="I49" s="13"/>
      <c r="J49" s="13"/>
      <c r="K49" s="13"/>
    </row>
    <row r="50" spans="1:11" ht="12.75">
      <c r="A50" s="25">
        <v>6</v>
      </c>
      <c r="B50" s="13">
        <f>H44/$G$44</f>
        <v>1.0610105758354231</v>
      </c>
      <c r="C50" s="13">
        <f>I44/$G$44</f>
        <v>1.1272522037257402</v>
      </c>
      <c r="D50" s="13">
        <f>J44/$G$44</f>
        <v>1.197998254763307</v>
      </c>
      <c r="E50" s="13">
        <f>K44/$G$44</f>
        <v>1.274220542224506</v>
      </c>
      <c r="F50" s="13"/>
      <c r="G50" s="13"/>
      <c r="H50" s="13"/>
      <c r="I50" s="13"/>
      <c r="J50" s="13"/>
      <c r="K50" s="13"/>
    </row>
    <row r="51" spans="1:11" ht="12.75">
      <c r="A51" s="25">
        <v>7</v>
      </c>
      <c r="B51" s="13">
        <f>I44/$H$44</f>
        <v>1.062432580220192</v>
      </c>
      <c r="C51" s="13">
        <f>J44/$H$44</f>
        <v>1.129110568780167</v>
      </c>
      <c r="D51" s="13">
        <f>K44/$H$44</f>
        <v>1.2009498974326478</v>
      </c>
      <c r="E51" s="13"/>
      <c r="F51" s="13"/>
      <c r="G51" s="13"/>
      <c r="H51" s="13"/>
      <c r="I51" s="13"/>
      <c r="J51" s="13"/>
      <c r="K51" s="13"/>
    </row>
    <row r="52" spans="1:11" ht="12.75">
      <c r="A52" s="25">
        <v>8</v>
      </c>
      <c r="B52" s="13">
        <f>J44/$I$44</f>
        <v>1.0627597362894836</v>
      </c>
      <c r="C52" s="13">
        <f>K44/$I$44</f>
        <v>1.1303775126923798</v>
      </c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25">
        <v>9</v>
      </c>
      <c r="B53" s="13">
        <f>K44/J44</f>
        <v>1.0636247065954687</v>
      </c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2.75">
      <c r="A54" s="25">
        <v>10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7" ht="18">
      <c r="A57" s="12" t="s">
        <v>8</v>
      </c>
    </row>
    <row r="58" spans="1:11" ht="12.75">
      <c r="A58" s="24" t="s">
        <v>6</v>
      </c>
      <c r="B58" s="25">
        <v>1</v>
      </c>
      <c r="C58" s="25">
        <v>2</v>
      </c>
      <c r="D58" s="25">
        <v>3</v>
      </c>
      <c r="E58" s="25">
        <v>4</v>
      </c>
      <c r="F58" s="25">
        <v>5</v>
      </c>
      <c r="G58" s="25">
        <v>6</v>
      </c>
      <c r="H58" s="25">
        <v>7</v>
      </c>
      <c r="I58" s="25">
        <v>8</v>
      </c>
      <c r="J58" s="25">
        <v>9</v>
      </c>
      <c r="K58" s="25">
        <v>10</v>
      </c>
    </row>
    <row r="59" ht="12.75">
      <c r="A59" s="26" t="s">
        <v>5</v>
      </c>
    </row>
    <row r="60" spans="1:11" ht="12.75">
      <c r="A60" s="25">
        <v>0</v>
      </c>
      <c r="B60" s="37">
        <f>B16</f>
        <v>0.04554999999999998</v>
      </c>
      <c r="C60" s="37">
        <f aca="true" t="shared" si="10" ref="C60:K60">C16</f>
        <v>0.04657329803897081</v>
      </c>
      <c r="D60" s="37">
        <f t="shared" si="10"/>
        <v>0.04787681538531574</v>
      </c>
      <c r="E60" s="37">
        <f t="shared" si="10"/>
        <v>0.04758885479599395</v>
      </c>
      <c r="F60" s="37">
        <f t="shared" si="10"/>
        <v>0.05057035091045048</v>
      </c>
      <c r="G60" s="37">
        <f t="shared" si="10"/>
        <v>0.051891398897681684</v>
      </c>
      <c r="H60" s="37">
        <f t="shared" si="10"/>
        <v>0.053189324051500675</v>
      </c>
      <c r="I60" s="37">
        <f t="shared" si="10"/>
        <v>0.054340318845813806</v>
      </c>
      <c r="J60" s="37">
        <f t="shared" si="10"/>
        <v>0.055272506116483155</v>
      </c>
      <c r="K60" s="37">
        <f t="shared" si="10"/>
        <v>0.056104766245960835</v>
      </c>
    </row>
    <row r="61" spans="1:11" ht="12.75">
      <c r="A61" s="25">
        <v>1</v>
      </c>
      <c r="B61" s="37">
        <f>((((1+C60)^2)/(1+$B$60))^(1/1))-1</f>
        <v>0.04759759759759774</v>
      </c>
      <c r="C61" s="37">
        <f>((((1+D60)^3)/(1+$B$60))^(1/2))-1</f>
        <v>0.04904216418434992</v>
      </c>
      <c r="D61" s="37">
        <f>((((1+E60)^4)/(1+$B$60))^(1/3))-1</f>
        <v>0.0482693561965124</v>
      </c>
      <c r="E61" s="37">
        <f>((((1+F60)^5)/(1+$B$60))^(1/4))-1</f>
        <v>0.05182920067294239</v>
      </c>
      <c r="F61" s="37">
        <f>((((1+G60)^6)/(1+$B$60))^(1/5))-1</f>
        <v>0.0531642866034312</v>
      </c>
      <c r="G61" s="37">
        <f>((((1+H60)^7)/(1+$B$60))^(1/6))-1</f>
        <v>0.054467960384543934</v>
      </c>
      <c r="H61" s="37">
        <f>((((1+I60)^8)/(1+$B$60))^(1/7))-1</f>
        <v>0.055602097176545184</v>
      </c>
      <c r="I61" s="37">
        <f>((((1+J60)^9)/(1+$B$60))^(1/8))-1</f>
        <v>0.05649415909721056</v>
      </c>
      <c r="J61" s="37">
        <f>((((1+K60)^10)/(1+$B$60))^(1/9))-1</f>
        <v>0.05728407561647386</v>
      </c>
      <c r="K61" s="37"/>
    </row>
    <row r="62" spans="1:11" ht="12.75">
      <c r="A62" s="25">
        <v>2</v>
      </c>
      <c r="B62" s="37">
        <f>((((1+D60)^3)/(1+$C$60)^2)^(1/1))-1</f>
        <v>0.050488722731209634</v>
      </c>
      <c r="C62" s="37">
        <f>((((1+E60)^4)/(1+$C$60)^2)^(1/2))-1</f>
        <v>0.04860539701244804</v>
      </c>
      <c r="D62" s="37">
        <f>((((1+F60)^5)/(1+$C$60)^2)^(1/3))-1</f>
        <v>0.05324353004628346</v>
      </c>
      <c r="E62" s="37">
        <f>((((1+G60)^6)/(1+$C$60)^2)^(1/4))-1</f>
        <v>0.05456057461756947</v>
      </c>
      <c r="F62" s="37">
        <f>((((1+H60)^7)/(1+$C$60)^2)^(1/5))-1</f>
        <v>0.055847430385958186</v>
      </c>
      <c r="G62" s="37">
        <f>((((1+I60)^8)/(1+$C$60)^2)^(1/6))-1</f>
        <v>0.05694211406196836</v>
      </c>
      <c r="H62" s="37">
        <f>((((1+J60)^9)/(1+$C$60)^2)^(1/7))-1</f>
        <v>0.057771249113881096</v>
      </c>
      <c r="I62" s="37">
        <f>((((1+K60)^10)/(1+$C$60)^2)^(1/8))-1</f>
        <v>0.0585011659826562</v>
      </c>
      <c r="J62" s="37"/>
      <c r="K62" s="37"/>
    </row>
    <row r="63" spans="1:11" ht="12.75">
      <c r="A63" s="25">
        <v>3</v>
      </c>
      <c r="B63" s="37">
        <f>((((1+E60)^4)/(1+$D$60)^3)^(1/1))-1</f>
        <v>0.046725447737132386</v>
      </c>
      <c r="C63" s="37">
        <f>((((1+F60)^5)/(1+$D$60)^3)^(1/2))-1</f>
        <v>0.05462364160403865</v>
      </c>
      <c r="D63" s="37">
        <f>((((1+G60)^6)/(1+$D$60)^3)^(1/3))-1</f>
        <v>0.05592136292094474</v>
      </c>
      <c r="E63" s="37">
        <f>((((1+H60)^7)/(1+$D$60)^3)^(1/4))-1</f>
        <v>0.057191373053486316</v>
      </c>
      <c r="F63" s="37">
        <f>((((1+I60)^8)/(1+$D$60)^3)^(1/5))-1</f>
        <v>0.058237541914335056</v>
      </c>
      <c r="G63" s="37">
        <f>((((1+J60)^9)/(1+$D$60)^3)^(1/6))-1</f>
        <v>0.05898990247003022</v>
      </c>
      <c r="H63" s="37">
        <f>((((1+K60)^10)/(1+$D$60)^3)^(1/7))-1</f>
        <v>0.059650778772252</v>
      </c>
      <c r="I63" s="37"/>
      <c r="J63" s="37"/>
      <c r="K63" s="37"/>
    </row>
    <row r="64" spans="1:11" ht="12.75">
      <c r="A64" s="25">
        <v>4</v>
      </c>
      <c r="B64" s="37">
        <f>((((1+F60)^5)/(1+$E$60)^4)^(1/1))-1</f>
        <v>0.06258143225106938</v>
      </c>
      <c r="C64" s="37">
        <f>((((1+G60)^6)/(1+$E$60)^4)^(1/2))-1</f>
        <v>0.0605495725142986</v>
      </c>
      <c r="D64" s="37">
        <f>((((1+H60)^7)/(1+$E$60)^4)^(1/3))-1</f>
        <v>0.0607032180277709</v>
      </c>
      <c r="E64" s="37">
        <f>((((1+I60)^8)/(1+$E$60)^4)^(1/4))-1</f>
        <v>0.061135294495253456</v>
      </c>
      <c r="F64" s="37">
        <f>((((1+J60)^9)/(1+$E$60)^4)^(1/5))-1</f>
        <v>0.061459984094150766</v>
      </c>
      <c r="G64" s="37">
        <f>((((1+K60)^10)/(1+$E$60)^4)^(1/6))-1</f>
        <v>0.061820464983100454</v>
      </c>
      <c r="H64" s="37"/>
      <c r="I64" s="37"/>
      <c r="J64" s="37"/>
      <c r="K64" s="37"/>
    </row>
    <row r="65" spans="1:11" ht="12.75">
      <c r="A65" s="25">
        <v>5</v>
      </c>
      <c r="B65" s="37">
        <f>((((1+G60)^6)/(1+$F$60)^5)^(1/1))-1</f>
        <v>0.05852159808350521</v>
      </c>
      <c r="C65" s="37">
        <f>((((1+H60)^7)/(1+$F$60)^5)^(1/2))-1</f>
        <v>0.05976535625430435</v>
      </c>
      <c r="D65" s="37">
        <f>((((1+I60)^8)/(1+$F$60)^5)^(1/3))-1</f>
        <v>0.06065368607457011</v>
      </c>
      <c r="E65" s="37">
        <f>((((1+J60)^9)/(1+$F$60)^5)^(1/4))-1</f>
        <v>0.061179807037501144</v>
      </c>
      <c r="F65" s="37">
        <f>((((1+K60)^10)/(1+$F$60)^5)^(1/5))-1</f>
        <v>0.06166833693796825</v>
      </c>
      <c r="G65" s="37"/>
      <c r="H65" s="37"/>
      <c r="I65" s="37"/>
      <c r="J65" s="37"/>
      <c r="K65" s="37"/>
    </row>
    <row r="66" spans="1:11" ht="12.75">
      <c r="A66" s="25">
        <v>6</v>
      </c>
      <c r="B66" s="37">
        <f>((((1+H60)^7)/(1+$G$60)^6)^(1/1))-1</f>
        <v>0.0610105758354238</v>
      </c>
      <c r="C66" s="37">
        <f>((((1+I60)^8)/(1+$G$60)^6)^(1/2))-1</f>
        <v>0.061721339959662336</v>
      </c>
      <c r="D66" s="37">
        <f>((((1+J60)^9)/(1+$G$60)^6)^(1/3))-1</f>
        <v>0.062067359288237256</v>
      </c>
      <c r="E66" s="37">
        <f>((((1+K60)^10)/(1+$G$60)^6)^(1/4))-1</f>
        <v>0.06245648221104649</v>
      </c>
      <c r="F66" s="37"/>
      <c r="G66" s="37"/>
      <c r="H66" s="37"/>
      <c r="I66" s="37"/>
      <c r="J66" s="37"/>
      <c r="K66" s="37"/>
    </row>
    <row r="67" spans="1:11" ht="12.75">
      <c r="A67" s="25">
        <v>7</v>
      </c>
      <c r="B67" s="37">
        <f>((((1+I60)^8)/(1+$H$60)^7)^(1/1))-1</f>
        <v>0.06243258022019216</v>
      </c>
      <c r="C67" s="37">
        <f>((((1+J60)^9)/(1+$H$60)^7)^(1/2))-1</f>
        <v>0.06259614566408378</v>
      </c>
      <c r="D67" s="37">
        <f>((((1+K60)^10)/(1+$H$60)^7)^(1/3))-1</f>
        <v>0.06293888874334397</v>
      </c>
      <c r="E67" s="37"/>
      <c r="F67" s="37"/>
      <c r="G67" s="37"/>
      <c r="H67" s="37"/>
      <c r="I67" s="37"/>
      <c r="J67" s="37"/>
      <c r="K67" s="37"/>
    </row>
    <row r="68" spans="1:11" ht="12.75">
      <c r="A68" s="25">
        <v>8</v>
      </c>
      <c r="B68" s="37">
        <f>((((1+J60)^9)/(1+$I$60)^8)^(1/1))-1</f>
        <v>0.06275973628948317</v>
      </c>
      <c r="C68" s="37">
        <f>((((1+K60)^10)/(1+$I$60)^8)^(1/2))-1</f>
        <v>0.06319213347935371</v>
      </c>
      <c r="D68" s="37"/>
      <c r="E68" s="37"/>
      <c r="F68" s="37"/>
      <c r="G68" s="37"/>
      <c r="H68" s="37"/>
      <c r="I68" s="37"/>
      <c r="J68" s="37"/>
      <c r="K68" s="37"/>
    </row>
    <row r="69" spans="1:11" ht="12.75">
      <c r="A69" s="25">
        <v>9</v>
      </c>
      <c r="B69" s="37">
        <f>((((1+K60)^10)/(1+$J$60)^9)^(1/1))-1</f>
        <v>0.0636247065954696</v>
      </c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>
      <c r="A70" s="25">
        <v>10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8" ht="18">
      <c r="A78" s="12" t="s">
        <v>9</v>
      </c>
    </row>
    <row r="79" spans="1:11" ht="12.75">
      <c r="A79" s="24" t="s">
        <v>6</v>
      </c>
      <c r="B79" s="25">
        <v>1</v>
      </c>
      <c r="C79" s="25">
        <v>2</v>
      </c>
      <c r="D79" s="25">
        <v>3</v>
      </c>
      <c r="E79" s="25">
        <v>4</v>
      </c>
      <c r="F79" s="25">
        <v>5</v>
      </c>
      <c r="G79" s="25">
        <v>6</v>
      </c>
      <c r="H79" s="25">
        <v>7</v>
      </c>
      <c r="I79" s="25">
        <v>8</v>
      </c>
      <c r="J79" s="25">
        <v>9</v>
      </c>
      <c r="K79" s="25">
        <v>10</v>
      </c>
    </row>
    <row r="80" ht="12.75">
      <c r="A80" s="26" t="s">
        <v>5</v>
      </c>
    </row>
    <row r="81" spans="1:11" ht="12.75">
      <c r="A81" s="25">
        <v>0</v>
      </c>
      <c r="B81" s="37">
        <f>((1-B23)/SUM(B23:B23))</f>
        <v>0.045549999999999966</v>
      </c>
      <c r="C81" s="37">
        <f>((1-C23)/SUM($B23:C23))</f>
        <v>0.046550000000000105</v>
      </c>
      <c r="D81" s="37">
        <f>((1-D23)/SUM($B23:D23))</f>
        <v>0.0478000000000001</v>
      </c>
      <c r="E81" s="37">
        <f>((1-E23)/SUM($B23:E23))</f>
        <v>0.047550000000000016</v>
      </c>
      <c r="F81" s="37">
        <f>((1-F23)/SUM($B23:F23))</f>
        <v>0.050249999999999864</v>
      </c>
      <c r="G81" s="37">
        <f>((1-G23)/SUM($B23:G23))</f>
        <v>0.05144999999999998</v>
      </c>
      <c r="H81" s="37">
        <f>((1-H23)/SUM($B23:H23))</f>
        <v>0.05259999999999997</v>
      </c>
      <c r="I81" s="37">
        <f>((1-I23)/SUM($B23:I23))</f>
        <v>0.05360000000000011</v>
      </c>
      <c r="J81" s="37">
        <f>((1-J23)/SUM($B23:J23))</f>
        <v>0.05440000000000005</v>
      </c>
      <c r="K81" s="37">
        <f>((1-K23)/SUM($B23:K23))</f>
        <v>0.055099999999999955</v>
      </c>
    </row>
    <row r="82" spans="1:11" ht="12.75">
      <c r="A82" s="25">
        <v>1</v>
      </c>
      <c r="B82" s="37">
        <f>((1-B24)/SUM($B24:B24))</f>
        <v>0.04759759759759787</v>
      </c>
      <c r="C82" s="37">
        <f>((1-C24)/SUM($B24:C24))</f>
        <v>0.04900756640238166</v>
      </c>
      <c r="D82" s="37">
        <f>((1-D24)/SUM($B24:D24))</f>
        <v>0.048282232013083334</v>
      </c>
      <c r="E82" s="37">
        <f>((1-E24)/SUM($B24:E24))</f>
        <v>0.051574552151298254</v>
      </c>
      <c r="F82" s="37">
        <f>((1-F24)/SUM($B24:F24))</f>
        <v>0.0528156790582631</v>
      </c>
      <c r="G82" s="37">
        <f>((1-G24)/SUM($B24:G24))</f>
        <v>0.05399669251177207</v>
      </c>
      <c r="H82" s="37">
        <f>((1-H24)/SUM($B24:H24))</f>
        <v>0.055004314033821014</v>
      </c>
      <c r="I82" s="37">
        <f>((1-I24)/SUM($B24:I24))</f>
        <v>0.055787887160417646</v>
      </c>
      <c r="J82" s="37">
        <f>((1-J24)/SUM($B24:J24))</f>
        <v>0.05646773963102245</v>
      </c>
      <c r="K82" s="37"/>
    </row>
    <row r="83" spans="1:11" ht="12.75">
      <c r="A83" s="25">
        <v>2</v>
      </c>
      <c r="B83" s="37">
        <f>((1-B25)/SUM($B25:B25))</f>
        <v>0.05048872273120984</v>
      </c>
      <c r="C83" s="37">
        <f>((1-C25)/SUM($B25:C25))</f>
        <v>0.04865004182838609</v>
      </c>
      <c r="D83" s="37">
        <f>((1-D25)/SUM($B25:D25))</f>
        <v>0.053038140529768234</v>
      </c>
      <c r="E83" s="37">
        <f>((1-E25)/SUM($B25:E25))</f>
        <v>0.05429563905099835</v>
      </c>
      <c r="F83" s="37">
        <f>((1-F25)/SUM($B25:F25))</f>
        <v>0.055489055365869726</v>
      </c>
      <c r="G83" s="37">
        <f>((1-G25)/SUM($B25:G25))</f>
        <v>0.056484123793248985</v>
      </c>
      <c r="H83" s="37">
        <f>((1-H25)/SUM($B25:H25))</f>
        <v>0.057229811652989904</v>
      </c>
      <c r="I83" s="37">
        <f>((1-I25)/SUM($B25:I25))</f>
        <v>0.05787242890410384</v>
      </c>
      <c r="J83" s="37"/>
      <c r="K83" s="37"/>
    </row>
    <row r="84" spans="1:11" ht="12.75">
      <c r="A84" s="25">
        <v>3</v>
      </c>
      <c r="B84" s="37">
        <f>((1-B26)/SUM($B26:B26))</f>
        <v>0.0467254477371322</v>
      </c>
      <c r="C84" s="37">
        <f>((1-C26)/SUM($B26:C26))</f>
        <v>0.05441289428639734</v>
      </c>
      <c r="D84" s="37">
        <f>((1-D26)/SUM($B26:D26))</f>
        <v>0.055703605367444814</v>
      </c>
      <c r="E84" s="37">
        <f>((1-E26)/SUM($B26:E26))</f>
        <v>0.05691593410620732</v>
      </c>
      <c r="F84" s="37">
        <f>((1-F26)/SUM($B26:F26))</f>
        <v>0.057892193441437416</v>
      </c>
      <c r="G84" s="37">
        <f>((1-G26)/SUM($B26:G26))</f>
        <v>0.05858701647377622</v>
      </c>
      <c r="H84" s="37">
        <f>((1-H26)/SUM($B26:H26))</f>
        <v>0.05918311086212811</v>
      </c>
      <c r="I84" s="37"/>
      <c r="J84" s="37"/>
      <c r="K84" s="37"/>
    </row>
    <row r="85" spans="1:11" ht="12.75">
      <c r="A85" s="25">
        <v>4</v>
      </c>
      <c r="B85" s="37">
        <f>((1-B27)/SUM($B27:B27))</f>
        <v>0.06258143225106895</v>
      </c>
      <c r="C85" s="37">
        <f>((1-C27)/SUM($B27:C27))</f>
        <v>0.06060922356919611</v>
      </c>
      <c r="D85" s="37">
        <f>((1-D27)/SUM($B27:D27))</f>
        <v>0.060735271935809555</v>
      </c>
      <c r="E85" s="37">
        <f>((1-E27)/SUM($B27:E27))</f>
        <v>0.06112252834603202</v>
      </c>
      <c r="F85" s="37">
        <f>((1-F27)/SUM($B27:F27))</f>
        <v>0.06141189119645206</v>
      </c>
      <c r="G85" s="37">
        <f>((1-G27)/SUM($B27:G27))</f>
        <v>0.0617271985752021</v>
      </c>
      <c r="H85" s="37"/>
      <c r="I85" s="37"/>
      <c r="J85" s="37"/>
      <c r="K85" s="37"/>
    </row>
    <row r="86" spans="1:11" ht="12.75">
      <c r="A86" s="25">
        <v>5</v>
      </c>
      <c r="B86" s="37">
        <f>((1-B28)/SUM($B28:B28))</f>
        <v>0.05852159808350574</v>
      </c>
      <c r="C86" s="37">
        <f>((1-C28)/SUM($B28:C28))</f>
        <v>0.059729247273228356</v>
      </c>
      <c r="D86" s="37">
        <f>((1-D28)/SUM($B28:D28))</f>
        <v>0.060576770815545106</v>
      </c>
      <c r="E86" s="37">
        <f>((1-E28)/SUM($B28:E28))</f>
        <v>0.06107404435441879</v>
      </c>
      <c r="F86" s="37">
        <f>((1-F28)/SUM($B28:F28))</f>
        <v>0.061523962251525975</v>
      </c>
      <c r="G86" s="37"/>
      <c r="H86" s="37"/>
      <c r="I86" s="37"/>
      <c r="J86" s="37"/>
      <c r="K86" s="37"/>
    </row>
    <row r="87" spans="1:11" ht="12.75">
      <c r="A87" s="25">
        <v>6</v>
      </c>
      <c r="B87" s="37">
        <f>((1-B29)/SUM($B29:B29))</f>
        <v>0.061010575835423</v>
      </c>
      <c r="C87" s="37">
        <f>((1-C29)/SUM($B29:C29))</f>
        <v>0.0617000550447833</v>
      </c>
      <c r="D87" s="37">
        <f>((1-D29)/SUM($B29:D29))</f>
        <v>0.06203204887392391</v>
      </c>
      <c r="E87" s="37">
        <f>((1-E29)/SUM($B29:E29))</f>
        <v>0.062394432280897937</v>
      </c>
      <c r="F87" s="37"/>
      <c r="G87" s="37"/>
      <c r="H87" s="37"/>
      <c r="I87" s="37"/>
      <c r="J87" s="37"/>
      <c r="K87" s="37"/>
    </row>
    <row r="88" spans="1:11" ht="12.75">
      <c r="A88" s="25">
        <v>7</v>
      </c>
      <c r="B88" s="37">
        <f>((1-B30)/SUM($B30:B30))</f>
        <v>0.06243258022019214</v>
      </c>
      <c r="C88" s="37">
        <f>((1-C30)/SUM($B30:C30))</f>
        <v>0.0625911813716185</v>
      </c>
      <c r="D88" s="37">
        <f>((1-D30)/SUM($B30:D30))</f>
        <v>0.06291476449801994</v>
      </c>
      <c r="E88" s="37"/>
      <c r="F88" s="37"/>
      <c r="G88" s="37"/>
      <c r="H88" s="37"/>
      <c r="I88" s="37"/>
      <c r="J88" s="37"/>
      <c r="K88" s="37"/>
    </row>
    <row r="89" spans="1:11" ht="12.75">
      <c r="A89" s="25">
        <v>8</v>
      </c>
      <c r="B89" s="37">
        <f>((1-B31)/SUM($B31:B31))</f>
        <v>0.06275973628948363</v>
      </c>
      <c r="C89" s="37">
        <f>((1-C31)/SUM($B31:C31))</f>
        <v>0.06317888726360245</v>
      </c>
      <c r="D89" s="37"/>
      <c r="E89" s="37"/>
      <c r="F89" s="37"/>
      <c r="G89" s="37"/>
      <c r="H89" s="37"/>
      <c r="I89" s="37"/>
      <c r="J89" s="37"/>
      <c r="K89" s="37"/>
    </row>
    <row r="90" spans="1:11" ht="12.75">
      <c r="A90" s="25">
        <v>9</v>
      </c>
      <c r="B90" s="37">
        <f>((1-B32)/SUM($B32:B32))</f>
        <v>0.0636247065954688</v>
      </c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>
      <c r="A91" s="25">
        <v>10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Z62"/>
  <sheetViews>
    <sheetView showRowColHeaders="0" tabSelected="1" workbookViewId="0" topLeftCell="A1">
      <pane ySplit="22" topLeftCell="BM23" activePane="bottomLeft" state="frozen"/>
      <selection pane="topLeft" activeCell="A1" sqref="A1"/>
      <selection pane="bottomLeft" activeCell="B18" sqref="B18"/>
    </sheetView>
  </sheetViews>
  <sheetFormatPr defaultColWidth="11.421875" defaultRowHeight="12.75"/>
  <cols>
    <col min="1" max="1" width="11.421875" style="40" customWidth="1"/>
    <col min="2" max="2" width="15.28125" style="40" customWidth="1"/>
    <col min="3" max="5" width="11.421875" style="40" customWidth="1"/>
    <col min="6" max="6" width="12.140625" style="40" customWidth="1"/>
    <col min="7" max="16384" width="11.421875" style="40" customWidth="1"/>
  </cols>
  <sheetData>
    <row r="3" ht="15.75">
      <c r="F3" s="41" t="s">
        <v>37</v>
      </c>
    </row>
    <row r="4" ht="12.75"/>
    <row r="5" ht="12.75"/>
    <row r="6" ht="12.75">
      <c r="Z6" s="63"/>
    </row>
    <row r="7" ht="12.75">
      <c r="Z7" s="63"/>
    </row>
    <row r="8" ht="12.75">
      <c r="Z8" s="63"/>
    </row>
    <row r="9" ht="12.75">
      <c r="Z9" s="63"/>
    </row>
    <row r="10" ht="12.75">
      <c r="Z10" s="63"/>
    </row>
    <row r="11" ht="12.75">
      <c r="Z11" s="63"/>
    </row>
    <row r="12" spans="1:26" ht="15.75">
      <c r="A12" s="40" t="s">
        <v>18</v>
      </c>
      <c r="B12" s="43">
        <f>Z12/10</f>
        <v>4.5</v>
      </c>
      <c r="C12" s="40" t="s">
        <v>24</v>
      </c>
      <c r="Z12" s="64">
        <v>45</v>
      </c>
    </row>
    <row r="13" spans="2:26" ht="15.75">
      <c r="B13" s="41"/>
      <c r="Z13" s="64"/>
    </row>
    <row r="14" spans="1:26" ht="15.75">
      <c r="A14" s="40" t="s">
        <v>6</v>
      </c>
      <c r="B14" s="41">
        <f>Z14</f>
        <v>4</v>
      </c>
      <c r="C14" s="40" t="s">
        <v>20</v>
      </c>
      <c r="Z14" s="64">
        <v>4</v>
      </c>
    </row>
    <row r="15" spans="2:26" ht="15.75">
      <c r="B15" s="41"/>
      <c r="Z15" s="64"/>
    </row>
    <row r="16" spans="1:26" ht="15.75">
      <c r="A16" s="40" t="s">
        <v>21</v>
      </c>
      <c r="B16" s="41">
        <f>Z16</f>
        <v>1</v>
      </c>
      <c r="C16" s="40" t="s">
        <v>39</v>
      </c>
      <c r="Z16" s="64">
        <v>1</v>
      </c>
    </row>
    <row r="17" ht="12.75">
      <c r="Z17" s="64"/>
    </row>
    <row r="18" spans="1:26" ht="15.75">
      <c r="A18" s="40" t="s">
        <v>14</v>
      </c>
      <c r="B18" s="65">
        <v>1000000</v>
      </c>
      <c r="C18" s="40" t="s">
        <v>19</v>
      </c>
      <c r="Z18" s="64">
        <v>21</v>
      </c>
    </row>
    <row r="19" spans="2:26" ht="15.75">
      <c r="B19" s="41"/>
      <c r="Z19" s="64"/>
    </row>
    <row r="20" spans="1:26" ht="15.75">
      <c r="A20" s="40" t="s">
        <v>32</v>
      </c>
      <c r="B20" s="42">
        <f>IF(B14&gt;B16,SUM(B44:B52),"Laufzeit!!!")</f>
        <v>16696.10243209263</v>
      </c>
      <c r="C20" s="40" t="s">
        <v>19</v>
      </c>
      <c r="F20" s="62" t="s">
        <v>38</v>
      </c>
      <c r="H20" s="61" t="s">
        <v>34</v>
      </c>
      <c r="Z20" s="53"/>
    </row>
    <row r="21" spans="2:26" ht="15.75">
      <c r="B21" s="41"/>
      <c r="Z21" s="53"/>
    </row>
    <row r="22" spans="2:26" s="44" customFormat="1" ht="15.75">
      <c r="B22" s="45"/>
      <c r="Z22" s="54"/>
    </row>
    <row r="23" spans="2:26" ht="15.75">
      <c r="B23" s="41"/>
      <c r="Z23" s="53"/>
    </row>
    <row r="24" spans="1:26" ht="15.75" thickBot="1">
      <c r="A24" s="50" t="s">
        <v>23</v>
      </c>
      <c r="B24" s="51" t="s">
        <v>35</v>
      </c>
      <c r="C24" s="51" t="s">
        <v>18</v>
      </c>
      <c r="D24" s="50"/>
      <c r="E24" s="51" t="s">
        <v>33</v>
      </c>
      <c r="F24" s="50"/>
      <c r="G24" s="51" t="s">
        <v>34</v>
      </c>
      <c r="H24" s="50"/>
      <c r="I24" s="50" t="s">
        <v>25</v>
      </c>
      <c r="J24" s="55"/>
      <c r="Z24" s="53"/>
    </row>
    <row r="25" spans="1:26" ht="15">
      <c r="A25" s="46" t="str">
        <f>A44</f>
        <v>t1 bis t2</v>
      </c>
      <c r="B25" s="48">
        <f>IF($B$14&gt;K44,Zinsstrukturen!B82,"")</f>
        <v>0.04759759759759787</v>
      </c>
      <c r="C25" s="49">
        <f>IF($B$14&gt;K44,$B$12/100,"")</f>
        <v>0.045</v>
      </c>
      <c r="D25" s="46"/>
      <c r="E25" s="56">
        <f>IF($B$14&gt;K44,N44,"")</f>
        <v>2376.1960042048026</v>
      </c>
      <c r="F25" s="46"/>
      <c r="G25" s="56">
        <f aca="true" t="shared" si="0" ref="G25:G33">IF($B$14&gt;K44,O44,"")</f>
        <v>1518.7547397689023</v>
      </c>
      <c r="H25" s="46"/>
      <c r="I25" s="56">
        <f aca="true" t="shared" si="1" ref="I25:I33">IF($B$14&gt;K44,B44,"")</f>
        <v>3894.950743973705</v>
      </c>
      <c r="Z25" s="53"/>
    </row>
    <row r="26" spans="1:26" ht="15">
      <c r="A26" s="46" t="str">
        <f aca="true" t="shared" si="2" ref="A26:A33">A45</f>
        <v>t2 bis t3</v>
      </c>
      <c r="B26" s="48">
        <f>IF($B$14&gt;K45,Zinsstrukturen!B83,"")</f>
        <v>0.05048872273120984</v>
      </c>
      <c r="C26" s="49">
        <f aca="true" t="shared" si="3" ref="C26:C33">IF($B$14&gt;K45,$B$12/100,"")</f>
        <v>0.045</v>
      </c>
      <c r="D26" s="46"/>
      <c r="E26" s="56">
        <f aca="true" t="shared" si="4" ref="E26:E33">IF($B$14&gt;K45,N45,"")</f>
        <v>4788.090409442873</v>
      </c>
      <c r="F26" s="46"/>
      <c r="G26" s="56">
        <f t="shared" si="0"/>
        <v>2036.4011098594583</v>
      </c>
      <c r="H26" s="46"/>
      <c r="I26" s="56">
        <f t="shared" si="1"/>
        <v>6824.491519302332</v>
      </c>
      <c r="Z26" s="53"/>
    </row>
    <row r="27" spans="1:26" ht="15">
      <c r="A27" s="46" t="str">
        <f t="shared" si="2"/>
        <v>t3 bis t4</v>
      </c>
      <c r="B27" s="48">
        <f>IF($B$14&gt;K46,Zinsstrukturen!B84,"")</f>
        <v>0.0467254477371322</v>
      </c>
      <c r="C27" s="49">
        <f t="shared" si="3"/>
        <v>0.045</v>
      </c>
      <c r="D27" s="46"/>
      <c r="E27" s="56">
        <f t="shared" si="4"/>
        <v>1431.0700181271775</v>
      </c>
      <c r="F27" s="46"/>
      <c r="G27" s="56">
        <f t="shared" si="0"/>
        <v>4545.590150689417</v>
      </c>
      <c r="H27" s="46"/>
      <c r="I27" s="56">
        <f t="shared" si="1"/>
        <v>5976.660168816595</v>
      </c>
      <c r="Z27" s="53"/>
    </row>
    <row r="28" spans="1:26" ht="15">
      <c r="A28" s="46">
        <f t="shared" si="2"/>
      </c>
      <c r="B28" s="48">
        <f>IF($B$14&gt;K47,Zinsstrukturen!B85,"")</f>
      </c>
      <c r="C28" s="49">
        <f t="shared" si="3"/>
      </c>
      <c r="D28" s="46"/>
      <c r="E28" s="56">
        <f t="shared" si="4"/>
      </c>
      <c r="F28" s="46"/>
      <c r="G28" s="56">
        <f t="shared" si="0"/>
      </c>
      <c r="H28" s="46"/>
      <c r="I28" s="56">
        <f t="shared" si="1"/>
      </c>
      <c r="Z28" s="53"/>
    </row>
    <row r="29" spans="1:26" ht="15">
      <c r="A29" s="46">
        <f t="shared" si="2"/>
      </c>
      <c r="B29" s="48">
        <f>IF($B$14&gt;K48,Zinsstrukturen!B86,"")</f>
      </c>
      <c r="C29" s="49">
        <f t="shared" si="3"/>
      </c>
      <c r="D29" s="46"/>
      <c r="E29" s="56">
        <f t="shared" si="4"/>
      </c>
      <c r="F29" s="46"/>
      <c r="G29" s="56">
        <f t="shared" si="0"/>
      </c>
      <c r="H29" s="46"/>
      <c r="I29" s="56">
        <f t="shared" si="1"/>
      </c>
      <c r="Z29" s="53"/>
    </row>
    <row r="30" spans="1:26" ht="15">
      <c r="A30" s="46">
        <f t="shared" si="2"/>
      </c>
      <c r="B30" s="48">
        <f>IF($B$14&gt;K49,Zinsstrukturen!B87,"")</f>
      </c>
      <c r="C30" s="49">
        <f t="shared" si="3"/>
      </c>
      <c r="D30" s="46"/>
      <c r="E30" s="56">
        <f t="shared" si="4"/>
      </c>
      <c r="F30" s="46"/>
      <c r="G30" s="56">
        <f t="shared" si="0"/>
      </c>
      <c r="H30" s="46"/>
      <c r="I30" s="56">
        <f t="shared" si="1"/>
      </c>
      <c r="Z30" s="53"/>
    </row>
    <row r="31" spans="1:26" ht="15">
      <c r="A31" s="46">
        <f t="shared" si="2"/>
      </c>
      <c r="B31" s="48">
        <f>IF($B$14&gt;K50,Zinsstrukturen!B88,"")</f>
      </c>
      <c r="C31" s="49">
        <f t="shared" si="3"/>
      </c>
      <c r="D31" s="46"/>
      <c r="E31" s="56">
        <f t="shared" si="4"/>
      </c>
      <c r="F31" s="46"/>
      <c r="G31" s="56">
        <f t="shared" si="0"/>
      </c>
      <c r="H31" s="46"/>
      <c r="I31" s="56">
        <f t="shared" si="1"/>
      </c>
      <c r="Z31" s="53"/>
    </row>
    <row r="32" spans="1:26" ht="15">
      <c r="A32" s="46">
        <f t="shared" si="2"/>
      </c>
      <c r="B32" s="48">
        <f>IF($B$14&gt;K51,Zinsstrukturen!B89,"")</f>
      </c>
      <c r="C32" s="49">
        <f t="shared" si="3"/>
      </c>
      <c r="D32" s="46"/>
      <c r="E32" s="56">
        <f t="shared" si="4"/>
      </c>
      <c r="F32" s="46"/>
      <c r="G32" s="56">
        <f t="shared" si="0"/>
      </c>
      <c r="H32" s="46"/>
      <c r="I32" s="56">
        <f t="shared" si="1"/>
      </c>
      <c r="Z32" s="53"/>
    </row>
    <row r="33" spans="1:26" ht="15">
      <c r="A33" s="46">
        <f t="shared" si="2"/>
      </c>
      <c r="B33" s="48">
        <f>IF($B$14&gt;K52,Zinsstrukturen!B90,"")</f>
      </c>
      <c r="C33" s="49">
        <f t="shared" si="3"/>
      </c>
      <c r="D33" s="46"/>
      <c r="E33" s="56">
        <f t="shared" si="4"/>
      </c>
      <c r="F33" s="46"/>
      <c r="G33" s="56">
        <f t="shared" si="0"/>
      </c>
      <c r="H33" s="46"/>
      <c r="I33" s="56">
        <f t="shared" si="1"/>
      </c>
      <c r="Z33" s="53"/>
    </row>
    <row r="34" spans="2:26" ht="12.75">
      <c r="B34" s="47"/>
      <c r="Z34" s="53"/>
    </row>
    <row r="35" spans="2:26" ht="12.75">
      <c r="B35" s="47"/>
      <c r="Z35" s="53"/>
    </row>
    <row r="36" spans="2:26" s="44" customFormat="1" ht="12.75">
      <c r="B36" s="52"/>
      <c r="Z36" s="54"/>
    </row>
    <row r="37" spans="2:26" ht="12.75">
      <c r="B37" s="47"/>
      <c r="Z37" s="53"/>
    </row>
    <row r="38" spans="2:26" ht="12.75">
      <c r="B38" s="47"/>
      <c r="Z38" s="53"/>
    </row>
    <row r="39" spans="1:26" ht="15.75">
      <c r="A39" s="41" t="s">
        <v>36</v>
      </c>
      <c r="B39" s="47"/>
      <c r="Z39" s="53"/>
    </row>
    <row r="40" spans="2:26" ht="12.75">
      <c r="B40" s="47"/>
      <c r="Z40" s="53"/>
    </row>
    <row r="41" spans="2:26" ht="12.75">
      <c r="B41" s="47"/>
      <c r="Z41" s="53"/>
    </row>
    <row r="42" spans="2:26" ht="12.75">
      <c r="B42" s="47"/>
      <c r="Z42" s="53"/>
    </row>
    <row r="43" spans="1:26" ht="13.5" thickBot="1">
      <c r="A43" s="55" t="s">
        <v>23</v>
      </c>
      <c r="B43" s="55" t="s">
        <v>25</v>
      </c>
      <c r="C43" s="55"/>
      <c r="D43" s="55" t="s">
        <v>22</v>
      </c>
      <c r="E43" s="55" t="s">
        <v>26</v>
      </c>
      <c r="F43" s="55" t="s">
        <v>28</v>
      </c>
      <c r="G43" s="55" t="s">
        <v>27</v>
      </c>
      <c r="H43" s="55" t="s">
        <v>29</v>
      </c>
      <c r="I43" s="55" t="s">
        <v>30</v>
      </c>
      <c r="J43" s="55" t="s">
        <v>31</v>
      </c>
      <c r="K43" s="53" t="s">
        <v>21</v>
      </c>
      <c r="L43" s="53" t="s">
        <v>6</v>
      </c>
      <c r="M43" s="53"/>
      <c r="N43" s="53" t="s">
        <v>33</v>
      </c>
      <c r="O43" s="53" t="s">
        <v>34</v>
      </c>
      <c r="P43" s="53"/>
      <c r="Z43" s="53"/>
    </row>
    <row r="44" spans="1:16" ht="12.75">
      <c r="A44" s="40" t="str">
        <f>IF($B$14&gt;1,"t1 bis t2","")</f>
        <v>t1 bis t2</v>
      </c>
      <c r="B44" s="57">
        <f>IF($B$14&gt;K44,$B$18*J44*((Zinsstrukturen!B82*G44)-(($B$12/100)*H44)),"")</f>
        <v>3894.950743973705</v>
      </c>
      <c r="D44" s="66">
        <v>0.15</v>
      </c>
      <c r="E44" s="58">
        <f>((LN(Zinsstrukturen!B82/(Caps!$B$12/100)))+D44^2*(K44/2))/(D44*SQRT(K44))</f>
        <v>0.44913199703112594</v>
      </c>
      <c r="F44" s="58">
        <f>E44-D44*SQRT(K44)</f>
        <v>0.2991319970311259</v>
      </c>
      <c r="G44" s="58">
        <f>NORMSDIST(E44)</f>
        <v>0.6733317587584465</v>
      </c>
      <c r="H44" s="58">
        <f>NORMSDIST(F44)</f>
        <v>0.6175802687283711</v>
      </c>
      <c r="I44" s="59">
        <f>LN(1+Zinsstrukturen!B60)</f>
        <v>0.04454306275067164</v>
      </c>
      <c r="J44" s="58">
        <f>EXP(-I44*L44)</f>
        <v>0.914766785433659</v>
      </c>
      <c r="K44" s="53">
        <v>1</v>
      </c>
      <c r="L44" s="53">
        <v>2</v>
      </c>
      <c r="M44" s="53"/>
      <c r="N44" s="60">
        <f>IF(Zinsstrukturen!B82&gt;=($B$12/100),(Zinsstrukturen!B82-($B$12/100))*$B$18*J44,0)</f>
        <v>2376.1960042048026</v>
      </c>
      <c r="O44" s="60">
        <f>B44-N44</f>
        <v>1518.7547397689023</v>
      </c>
      <c r="P44" s="53"/>
    </row>
    <row r="45" spans="1:16" ht="12.75">
      <c r="A45" s="40" t="str">
        <f>IF($B$14&gt;2,"t2 bis t3","")</f>
        <v>t2 bis t3</v>
      </c>
      <c r="B45" s="57">
        <f>IF($B$14&gt;K45,$B$18*J45*((Zinsstrukturen!B83*G45)-(($B$12/100)*H45)),"")</f>
        <v>6824.491519302332</v>
      </c>
      <c r="D45" s="66">
        <v>0.17</v>
      </c>
      <c r="E45" s="58">
        <f>((LN(Zinsstrukturen!B83/(Caps!$B$12/100)))+D45^2*(K45/2))/(D45*SQRT(K45))</f>
        <v>0.5989090838012529</v>
      </c>
      <c r="F45" s="58">
        <f aca="true" t="shared" si="5" ref="F45:F52">E45-D45*SQRT(K45)</f>
        <v>0.35849277819782666</v>
      </c>
      <c r="G45" s="58">
        <f aca="true" t="shared" si="6" ref="G45:G52">NORMSDIST(E45)</f>
        <v>0.7253832956265447</v>
      </c>
      <c r="H45" s="58">
        <f aca="true" t="shared" si="7" ref="H45:H52">NORMSDIST(F45)</f>
        <v>0.640012655040736</v>
      </c>
      <c r="I45" s="59">
        <f>LN(1+Zinsstrukturen!C60)</f>
        <v>0.04552130157773682</v>
      </c>
      <c r="J45" s="58">
        <f aca="true" t="shared" si="8" ref="J45:J52">EXP(-I45*L45)</f>
        <v>0.8723505711478098</v>
      </c>
      <c r="K45" s="53">
        <f>K44+1</f>
        <v>2</v>
      </c>
      <c r="L45" s="53">
        <f>L44+1</f>
        <v>3</v>
      </c>
      <c r="M45" s="53"/>
      <c r="N45" s="60">
        <f>IF(Zinsstrukturen!B83&gt;=($B$12/100),(Zinsstrukturen!B83-($B$12/100))*$B$18*J45,0)</f>
        <v>4788.090409442873</v>
      </c>
      <c r="O45" s="60">
        <f aca="true" t="shared" si="9" ref="O45:O52">B45-N45</f>
        <v>2036.4011098594583</v>
      </c>
      <c r="P45" s="53"/>
    </row>
    <row r="46" spans="1:16" ht="12.75">
      <c r="A46" s="40" t="str">
        <f>IF($B$14&gt;3,"t3 bis t4","")</f>
        <v>t3 bis t4</v>
      </c>
      <c r="B46" s="57">
        <f>IF($B$14&gt;K46,$B$18*J46*((Zinsstrukturen!B84*G46)-(($B$12/100)*H46)),"")</f>
        <v>5976.660168816595</v>
      </c>
      <c r="D46" s="66">
        <v>0.2</v>
      </c>
      <c r="E46" s="58">
        <f>((LN(Zinsstrukturen!B84/(Caps!$B$12/100)))+D46^2*(K46/2))/(D46*SQRT(K46))</f>
        <v>0.2818232741438963</v>
      </c>
      <c r="F46" s="58">
        <f t="shared" si="5"/>
        <v>-0.06458688736987916</v>
      </c>
      <c r="G46" s="58">
        <f t="shared" si="6"/>
        <v>0.6109604260412098</v>
      </c>
      <c r="H46" s="58">
        <f t="shared" si="7"/>
        <v>0.47425139242148107</v>
      </c>
      <c r="I46" s="59">
        <f>LN(1+Zinsstrukturen!D60)</f>
        <v>0.046766036418917405</v>
      </c>
      <c r="J46" s="58">
        <f t="shared" si="8"/>
        <v>0.8293905328629098</v>
      </c>
      <c r="K46" s="53">
        <f aca="true" t="shared" si="10" ref="K46:K52">K45+1</f>
        <v>3</v>
      </c>
      <c r="L46" s="53">
        <f aca="true" t="shared" si="11" ref="L46:L52">L45+1</f>
        <v>4</v>
      </c>
      <c r="M46" s="53"/>
      <c r="N46" s="60">
        <f>IF(Zinsstrukturen!B84&gt;=($B$12/100),(Zinsstrukturen!B84-($B$12/100))*$B$18*J46,0)</f>
        <v>1431.0700181271775</v>
      </c>
      <c r="O46" s="60">
        <f t="shared" si="9"/>
        <v>4545.590150689417</v>
      </c>
      <c r="P46" s="53"/>
    </row>
    <row r="47" spans="1:16" ht="12.75">
      <c r="A47" s="40">
        <f>IF($B$14&gt;4,"t4 bis t5","")</f>
      </c>
      <c r="B47" s="57">
        <f>IF($B$14&gt;K47,$B$18*J47*((Zinsstrukturen!B85*G47)-(($B$12/100)*H47)),"")</f>
      </c>
      <c r="D47" s="66">
        <v>0.2</v>
      </c>
      <c r="E47" s="58">
        <f>((LN(Zinsstrukturen!B85/(Caps!$B$12/100)))+D47^2*(K47/2))/(D47*SQRT(K47))</f>
        <v>1.0245153373265459</v>
      </c>
      <c r="F47" s="58">
        <f t="shared" si="5"/>
        <v>0.6245153373265458</v>
      </c>
      <c r="G47" s="58">
        <f t="shared" si="6"/>
        <v>0.8472040196215369</v>
      </c>
      <c r="H47" s="58">
        <f t="shared" si="7"/>
        <v>0.7338554602523217</v>
      </c>
      <c r="I47" s="59">
        <f>LN(1+Zinsstrukturen!E60)</f>
        <v>0.04649119479757074</v>
      </c>
      <c r="J47" s="58">
        <f t="shared" si="8"/>
        <v>0.7925846429197762</v>
      </c>
      <c r="K47" s="53">
        <f t="shared" si="10"/>
        <v>4</v>
      </c>
      <c r="L47" s="53">
        <f t="shared" si="11"/>
        <v>5</v>
      </c>
      <c r="M47" s="53"/>
      <c r="N47" s="60">
        <f>IF(Zinsstrukturen!B85&gt;=($B$12/100),(Zinsstrukturen!B85-($B$12/100))*$B$18*J47,0)</f>
        <v>13934.773202731722</v>
      </c>
      <c r="O47" s="60" t="e">
        <f t="shared" si="9"/>
        <v>#VALUE!</v>
      </c>
      <c r="P47" s="53"/>
    </row>
    <row r="48" spans="1:16" ht="12.75">
      <c r="A48" s="40">
        <f>IF($B$14&gt;5,"t5 bis t6","")</f>
      </c>
      <c r="B48" s="57">
        <f>IF($B$14&gt;K48,$B$18*J48*((Zinsstrukturen!B86*G48)-(($B$12/100)*H48)),"")</f>
      </c>
      <c r="D48" s="66">
        <v>0.2</v>
      </c>
      <c r="E48" s="58">
        <f>((LN(Zinsstrukturen!B86/(Caps!$B$12/100)))+D48^2*(K48/2))/(D48*SQRT(K48))</f>
        <v>0.8110965274519604</v>
      </c>
      <c r="F48" s="58">
        <f t="shared" si="5"/>
        <v>0.3638829319520024</v>
      </c>
      <c r="G48" s="58">
        <f t="shared" si="6"/>
        <v>0.791344942112933</v>
      </c>
      <c r="H48" s="58">
        <f t="shared" si="7"/>
        <v>0.6420272269188425</v>
      </c>
      <c r="I48" s="59">
        <f>LN(1+Zinsstrukturen!F60)</f>
        <v>0.049333208037702816</v>
      </c>
      <c r="J48" s="58">
        <f t="shared" si="8"/>
        <v>0.7437879871802784</v>
      </c>
      <c r="K48" s="53">
        <f t="shared" si="10"/>
        <v>5</v>
      </c>
      <c r="L48" s="53">
        <f t="shared" si="11"/>
        <v>6</v>
      </c>
      <c r="M48" s="53"/>
      <c r="N48" s="60">
        <f>IF(Zinsstrukturen!B86&gt;=($B$12/100),(Zinsstrukturen!B86-($B$12/100))*$B$18*J48,0)</f>
        <v>10057.202221991443</v>
      </c>
      <c r="O48" s="60" t="e">
        <f t="shared" si="9"/>
        <v>#VALUE!</v>
      </c>
      <c r="P48" s="53"/>
    </row>
    <row r="49" spans="1:16" ht="12.75">
      <c r="A49" s="40">
        <f>IF($B$14&gt;6,"t6 bis t7","")</f>
      </c>
      <c r="B49" s="57">
        <f>IF($B$14&gt;K49,$B$18*J49*((Zinsstrukturen!B87*G49)-(($B$12/100)*H49)),"")</f>
      </c>
      <c r="D49" s="66">
        <v>0.2</v>
      </c>
      <c r="E49" s="58">
        <f>((LN(Zinsstrukturen!B87/(Caps!$B$12/100)))+D49^2*(K49/2))/(D49*SQRT(K49))</f>
        <v>0.8662717102142152</v>
      </c>
      <c r="F49" s="58">
        <f t="shared" si="5"/>
        <v>0.37637376165757963</v>
      </c>
      <c r="G49" s="58">
        <f t="shared" si="6"/>
        <v>0.806829457598622</v>
      </c>
      <c r="H49" s="58">
        <f t="shared" si="7"/>
        <v>0.6466804212484915</v>
      </c>
      <c r="I49" s="59">
        <f>LN(1+Zinsstrukturen!G60)</f>
        <v>0.050589875999631974</v>
      </c>
      <c r="J49" s="58">
        <f t="shared" si="8"/>
        <v>0.7017843386905739</v>
      </c>
      <c r="K49" s="53">
        <f t="shared" si="10"/>
        <v>6</v>
      </c>
      <c r="L49" s="53">
        <f t="shared" si="11"/>
        <v>7</v>
      </c>
      <c r="M49" s="53"/>
      <c r="N49" s="60">
        <f>IF(Zinsstrukturen!B87&gt;=($B$12/100),(Zinsstrukturen!B87-($B$12/100))*$B$18*J49,0)</f>
        <v>11235.971374717612</v>
      </c>
      <c r="O49" s="60" t="e">
        <f t="shared" si="9"/>
        <v>#VALUE!</v>
      </c>
      <c r="P49" s="53"/>
    </row>
    <row r="50" spans="1:16" ht="12.75">
      <c r="A50" s="40">
        <f>IF($B$14&gt;7,"t7 bis t8","")</f>
      </c>
      <c r="B50" s="57">
        <f>IF($B$14&gt;K50,$B$18*J50*((Zinsstrukturen!B88*G50)-(($B$12/100)*H50)),"")</f>
      </c>
      <c r="D50" s="66">
        <v>0.2</v>
      </c>
      <c r="E50" s="58">
        <f>((LN(Zinsstrukturen!B88/(Caps!$B$12/100)))+D50^2*(K50/2))/(D50*SQRT(K50))</f>
        <v>0.883349781037551</v>
      </c>
      <c r="F50" s="58">
        <f t="shared" si="5"/>
        <v>0.35419951882463285</v>
      </c>
      <c r="G50" s="58">
        <f t="shared" si="6"/>
        <v>0.8114763822667673</v>
      </c>
      <c r="H50" s="58">
        <f t="shared" si="7"/>
        <v>0.6384052576177356</v>
      </c>
      <c r="I50" s="59">
        <f>LN(1+Zinsstrukturen!H60)</f>
        <v>0.05182301191137219</v>
      </c>
      <c r="J50" s="58">
        <f t="shared" si="8"/>
        <v>0.6606149764569541</v>
      </c>
      <c r="K50" s="53">
        <f t="shared" si="10"/>
        <v>7</v>
      </c>
      <c r="L50" s="53">
        <f t="shared" si="11"/>
        <v>8</v>
      </c>
      <c r="M50" s="53"/>
      <c r="N50" s="60">
        <f>IF(Zinsstrukturen!B88&gt;=($B$12/100),(Zinsstrukturen!B88-($B$12/100))*$B$18*J50,0)</f>
        <v>11516.223571746194</v>
      </c>
      <c r="O50" s="60" t="e">
        <f t="shared" si="9"/>
        <v>#VALUE!</v>
      </c>
      <c r="P50" s="53"/>
    </row>
    <row r="51" spans="1:16" ht="12.75">
      <c r="A51" s="40">
        <f>IF($B$14&gt;8,"t8 bis t9","")</f>
      </c>
      <c r="B51" s="57">
        <f>IF($B$14&gt;K51,$B$18*J51*((Zinsstrukturen!B89*G51)-(($B$12/100)*H51)),"")</f>
      </c>
      <c r="D51" s="66">
        <v>0.2</v>
      </c>
      <c r="E51" s="58">
        <f>((LN(Zinsstrukturen!B89/(Caps!$B$12/100)))+D51^2*(K51/2))/(D51*SQRT(K51))</f>
        <v>0.8708925746875767</v>
      </c>
      <c r="F51" s="58">
        <f t="shared" si="5"/>
        <v>0.3052071497383386</v>
      </c>
      <c r="G51" s="58">
        <f t="shared" si="6"/>
        <v>0.808093638406234</v>
      </c>
      <c r="H51" s="58">
        <f t="shared" si="7"/>
        <v>0.6198957412600188</v>
      </c>
      <c r="I51" s="59">
        <f>LN(1+Zinsstrukturen!I60)</f>
        <v>0.05291528115904348</v>
      </c>
      <c r="J51" s="58">
        <f t="shared" si="8"/>
        <v>0.6211159307891903</v>
      </c>
      <c r="K51" s="53">
        <f t="shared" si="10"/>
        <v>8</v>
      </c>
      <c r="L51" s="53">
        <f t="shared" si="11"/>
        <v>9</v>
      </c>
      <c r="M51" s="53"/>
      <c r="N51" s="60">
        <f>IF(Zinsstrukturen!B89&gt;=($B$12/100),(Zinsstrukturen!B89-($B$12/100))*$B$18*J51,0)</f>
        <v>11030.855136013184</v>
      </c>
      <c r="O51" s="60" t="e">
        <f t="shared" si="9"/>
        <v>#VALUE!</v>
      </c>
      <c r="P51" s="53"/>
    </row>
    <row r="52" spans="1:16" ht="12.75">
      <c r="A52" s="40">
        <f>IF($B$14&gt;9,"t9 bis t10","")</f>
      </c>
      <c r="B52" s="57">
        <f>IF($B$14&gt;K52,$B$18*J52*((Zinsstrukturen!B90*G52)-(($B$12/100)*H52)),"")</f>
      </c>
      <c r="D52" s="66">
        <v>0.2</v>
      </c>
      <c r="E52" s="58">
        <f>((LN(Zinsstrukturen!B90/(Caps!$B$12/100)))+D52^2*(K52/2))/(D52*SQRT(K52))</f>
        <v>0.8772322893727083</v>
      </c>
      <c r="F52" s="58">
        <f t="shared" si="5"/>
        <v>0.27723228937270816</v>
      </c>
      <c r="G52" s="58">
        <f t="shared" si="6"/>
        <v>0.8098198013353476</v>
      </c>
      <c r="H52" s="58">
        <f t="shared" si="7"/>
        <v>0.6091990651730792</v>
      </c>
      <c r="I52" s="59">
        <f>LN(1+Zinsstrukturen!J60)</f>
        <v>0.053799033210899</v>
      </c>
      <c r="J52" s="58">
        <f t="shared" si="8"/>
        <v>0.5839205604056763</v>
      </c>
      <c r="K52" s="53">
        <f t="shared" si="10"/>
        <v>9</v>
      </c>
      <c r="L52" s="53">
        <f t="shared" si="11"/>
        <v>10</v>
      </c>
      <c r="M52" s="53"/>
      <c r="N52" s="60">
        <f>IF(Zinsstrukturen!B90&gt;=($B$12/100),(Zinsstrukturen!B90-($B$12/100))*$B$18*J52,0)</f>
        <v>10875.34911261744</v>
      </c>
      <c r="O52" s="60" t="e">
        <f t="shared" si="9"/>
        <v>#VALUE!</v>
      </c>
      <c r="P52" s="53"/>
    </row>
    <row r="53" spans="11:16" ht="12.75">
      <c r="K53" s="53"/>
      <c r="L53" s="53"/>
      <c r="M53" s="53"/>
      <c r="N53" s="53"/>
      <c r="O53" s="53"/>
      <c r="P53" s="53"/>
    </row>
    <row r="54" spans="11:16" ht="12.75">
      <c r="K54" s="53"/>
      <c r="L54" s="53"/>
      <c r="M54" s="53"/>
      <c r="N54" s="53"/>
      <c r="O54" s="53"/>
      <c r="P54" s="53"/>
    </row>
    <row r="55" spans="11:16" ht="12.75">
      <c r="K55" s="53"/>
      <c r="L55" s="53"/>
      <c r="M55" s="53"/>
      <c r="N55" s="53"/>
      <c r="O55" s="53"/>
      <c r="P55" s="53"/>
    </row>
    <row r="56" spans="11:16" ht="12.75">
      <c r="K56" s="53"/>
      <c r="L56" s="53"/>
      <c r="M56" s="53"/>
      <c r="N56" s="53"/>
      <c r="O56" s="53"/>
      <c r="P56" s="53"/>
    </row>
    <row r="57" spans="11:16" ht="12.75">
      <c r="K57" s="53"/>
      <c r="L57" s="53"/>
      <c r="M57" s="53"/>
      <c r="N57" s="53"/>
      <c r="O57" s="53"/>
      <c r="P57" s="53"/>
    </row>
    <row r="58" spans="11:16" ht="12.75">
      <c r="K58" s="53"/>
      <c r="L58" s="53"/>
      <c r="M58" s="53"/>
      <c r="N58" s="53"/>
      <c r="O58" s="53"/>
      <c r="P58" s="53"/>
    </row>
    <row r="59" spans="11:16" ht="12.75">
      <c r="K59" s="53"/>
      <c r="L59" s="53"/>
      <c r="M59" s="53"/>
      <c r="N59" s="53"/>
      <c r="O59" s="53"/>
      <c r="P59" s="53"/>
    </row>
    <row r="60" spans="11:16" ht="12.75">
      <c r="K60" s="53"/>
      <c r="L60" s="53"/>
      <c r="M60" s="53"/>
      <c r="N60" s="53"/>
      <c r="O60" s="53"/>
      <c r="P60" s="53"/>
    </row>
    <row r="61" spans="11:16" ht="12.75">
      <c r="K61" s="53"/>
      <c r="L61" s="53"/>
      <c r="M61" s="53"/>
      <c r="N61" s="53"/>
      <c r="O61" s="53"/>
      <c r="P61" s="53"/>
    </row>
    <row r="62" spans="11:16" ht="12.75">
      <c r="K62" s="53"/>
      <c r="L62" s="53"/>
      <c r="M62" s="53"/>
      <c r="N62" s="53"/>
      <c r="O62" s="53"/>
      <c r="P62" s="53"/>
    </row>
  </sheetData>
  <sheetProtection password="EF20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Hager</dc:creator>
  <cp:keywords/>
  <dc:description/>
  <cp:lastModifiedBy>Peter Hager</cp:lastModifiedBy>
  <cp:lastPrinted>2000-10-26T20:51:19Z</cp:lastPrinted>
  <dcterms:created xsi:type="dcterms:W3CDTF">1999-05-01T15:51:47Z</dcterms:created>
  <dcterms:modified xsi:type="dcterms:W3CDTF">2002-01-20T16:05:36Z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