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tabRatio="680" activeTab="3"/>
  </bookViews>
  <sheets>
    <sheet name="Zinsstrukturkurve" sheetId="1" r:id="rId1"/>
    <sheet name="Zinsstrukturen" sheetId="2" r:id="rId2"/>
    <sheet name="CMS mit Kapitalposition" sheetId="3" r:id="rId3"/>
    <sheet name="CMS ohne Kapitalposition" sheetId="4" r:id="rId4"/>
    <sheet name="ccfb" sheetId="5" r:id="rId5"/>
  </sheets>
  <definedNames>
    <definedName name="ZBAF">'Zinsstrukturen'!$A$11:$K$93</definedName>
  </definedNames>
  <calcPr fullCalcOnLoad="1"/>
</workbook>
</file>

<file path=xl/sharedStrings.xml><?xml version="1.0" encoding="utf-8"?>
<sst xmlns="http://schemas.openxmlformats.org/spreadsheetml/2006/main" count="142" uniqueCount="43">
  <si>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</si>
  <si>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</si>
  <si>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</si>
  <si>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</si>
  <si>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</si>
  <si>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</si>
  <si>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</si>
  <si>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</si>
  <si>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</si>
  <si>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</si>
  <si>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ZB-Aufzinsfaktoren ZB-UF(t,LZ)</t>
  </si>
  <si>
    <t>Volumen</t>
  </si>
  <si>
    <t>Jahr 1</t>
  </si>
  <si>
    <t>Jahr 2</t>
  </si>
  <si>
    <t>Jahr 3</t>
  </si>
  <si>
    <t>Jahr 4</t>
  </si>
  <si>
    <t>Jahr 5</t>
  </si>
  <si>
    <t>Forwards</t>
  </si>
  <si>
    <t>Cash Flow der Euribor-Seite</t>
  </si>
  <si>
    <t>Cash Flow der Kapitalmarktseite</t>
  </si>
  <si>
    <t xml:space="preserve">Laufzeit </t>
  </si>
  <si>
    <t>Barwert</t>
  </si>
  <si>
    <t>Alternative 1: Partizipationsrate</t>
  </si>
  <si>
    <t>Alternative 2: Auf-/Abschlag</t>
  </si>
  <si>
    <t>an dem Kapitalmarktzinssatz</t>
  </si>
  <si>
    <t>auf den Kapitalmarktzinssatz</t>
  </si>
  <si>
    <t>Alternative 3: Auf-/Abschlag</t>
  </si>
  <si>
    <t>auf den Euribor</t>
  </si>
  <si>
    <t>Forwards (Kapitalmarkt)</t>
  </si>
  <si>
    <t>5 Jahre</t>
  </si>
  <si>
    <t>4 Jahre</t>
  </si>
  <si>
    <t>3 Jahre</t>
  </si>
  <si>
    <t>2 Jahre</t>
  </si>
  <si>
    <t>1 Jahre</t>
  </si>
  <si>
    <t>Kapitalmarktzins</t>
  </si>
  <si>
    <t>-Jahres-Zins</t>
  </si>
  <si>
    <t>Geldmarktzins</t>
  </si>
  <si>
    <t>12-Monats-Euribor</t>
  </si>
  <si>
    <t>Jahr(e)</t>
  </si>
  <si>
    <t>ccfb.de</t>
  </si>
  <si>
    <t>zinsrisiko.de</t>
  </si>
  <si>
    <t>banklehrstuhl.de</t>
  </si>
  <si>
    <t>Prof. Dr. Wiedemann Consulting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</si>
</sst>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</numFmts>
  <fonts count="22">
    <font>
      <sz val="10"/>
      <name val="Arial"/>
      <family val="0"/>
    </font>
    <font>
      <sz val="10"/>
      <color indexed="2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2"/>
      <color indexed="2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22"/>
      <name val="Arial"/>
      <family val="2"/>
    </font>
    <font>
      <sz val="10"/>
      <color indexed="23"/>
      <name val="Arial"/>
      <family val="2"/>
    </font>
    <font>
      <sz val="18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10" fillId="3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10" fontId="0" fillId="3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9" fillId="3" borderId="0" xfId="18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2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6" fillId="4" borderId="5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/>
      <protection hidden="1"/>
    </xf>
    <xf numFmtId="0" fontId="6" fillId="4" borderId="9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164" fontId="3" fillId="3" borderId="0" xfId="0" applyNumberFormat="1" applyFont="1" applyFill="1" applyBorder="1" applyAlignment="1" applyProtection="1">
      <alignment/>
      <protection hidden="1"/>
    </xf>
    <xf numFmtId="10" fontId="3" fillId="3" borderId="0" xfId="0" applyNumberFormat="1" applyFont="1" applyFill="1" applyBorder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164" fontId="3" fillId="3" borderId="0" xfId="0" applyNumberFormat="1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1" fillId="3" borderId="0" xfId="0" applyNumberFormat="1" applyFont="1" applyFill="1" applyBorder="1" applyAlignment="1" applyProtection="1">
      <alignment/>
      <protection hidden="1"/>
    </xf>
    <xf numFmtId="10" fontId="13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11" xfId="0" applyNumberFormat="1" applyFill="1" applyBorder="1" applyAlignment="1" applyProtection="1">
      <alignment/>
      <protection hidden="1"/>
    </xf>
    <xf numFmtId="166" fontId="0" fillId="3" borderId="12" xfId="0" applyNumberFormat="1" applyFill="1" applyBorder="1" applyAlignment="1" applyProtection="1">
      <alignment/>
      <protection hidden="1"/>
    </xf>
    <xf numFmtId="166" fontId="3" fillId="5" borderId="3" xfId="0" applyNumberFormat="1" applyFont="1" applyFill="1" applyBorder="1" applyAlignment="1" applyProtection="1">
      <alignment/>
      <protection locked="0"/>
    </xf>
    <xf numFmtId="166" fontId="3" fillId="5" borderId="4" xfId="0" applyNumberFormat="1" applyFont="1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6" fillId="3" borderId="0" xfId="0" applyFont="1" applyFill="1" applyAlignment="1" applyProtection="1">
      <alignment/>
      <protection hidden="1"/>
    </xf>
    <xf numFmtId="3" fontId="17" fillId="4" borderId="0" xfId="0" applyNumberFormat="1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>
      <alignment/>
      <protection hidden="1"/>
    </xf>
    <xf numFmtId="166" fontId="14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 horizontal="left"/>
      <protection hidden="1"/>
    </xf>
    <xf numFmtId="49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171" fontId="0" fillId="3" borderId="0" xfId="0" applyNumberFormat="1" applyFont="1" applyFill="1" applyAlignment="1" applyProtection="1">
      <alignment/>
      <protection hidden="1"/>
    </xf>
    <xf numFmtId="1" fontId="0" fillId="3" borderId="0" xfId="0" applyNumberFormat="1" applyFont="1" applyFill="1" applyAlignment="1" applyProtection="1">
      <alignment/>
      <protection hidden="1"/>
    </xf>
    <xf numFmtId="171" fontId="1" fillId="3" borderId="0" xfId="0" applyNumberFormat="1" applyFont="1" applyFill="1" applyAlignment="1" applyProtection="1">
      <alignment/>
      <protection hidden="1"/>
    </xf>
    <xf numFmtId="1" fontId="1" fillId="3" borderId="0" xfId="0" applyNumberFormat="1" applyFont="1" applyFill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 locked="0"/>
    </xf>
    <xf numFmtId="3" fontId="0" fillId="5" borderId="0" xfId="0" applyNumberFormat="1" applyFill="1" applyAlignment="1" applyProtection="1">
      <alignment/>
      <protection locked="0"/>
    </xf>
    <xf numFmtId="0" fontId="18" fillId="3" borderId="0" xfId="0" applyFont="1" applyFill="1" applyAlignment="1" applyProtection="1">
      <alignment horizontal="right"/>
      <protection hidden="1"/>
    </xf>
    <xf numFmtId="3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hidden="1"/>
    </xf>
    <xf numFmtId="0" fontId="12" fillId="2" borderId="0" xfId="18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7" fillId="3" borderId="0" xfId="18" applyFill="1" applyAlignment="1" applyProtection="1">
      <alignment/>
      <protection hidden="1"/>
    </xf>
    <xf numFmtId="1" fontId="0" fillId="5" borderId="0" xfId="0" applyNumberFormat="1" applyFont="1" applyFill="1" applyAlignment="1" applyProtection="1">
      <alignment/>
      <protection hidden="1" locked="0"/>
    </xf>
    <xf numFmtId="0" fontId="0" fillId="5" borderId="0" xfId="0" applyFill="1" applyAlignment="1" applyProtection="1">
      <alignment/>
      <protection hidden="1" locked="0"/>
    </xf>
    <xf numFmtId="166" fontId="14" fillId="5" borderId="0" xfId="0" applyNumberFormat="1" applyFont="1" applyFill="1" applyAlignment="1" applyProtection="1">
      <alignment/>
      <protection hidden="1" locked="0"/>
    </xf>
    <xf numFmtId="0" fontId="0" fillId="5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Zinsstrukturkurve!$B$11:$K$11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Zinsstrukturkurve!$B$12:$K$12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Zinsstrukturkurve!$B$13:$K$13</c:f>
              <c:numCache/>
            </c:numRef>
          </c:val>
          <c:smooth val="0"/>
        </c:ser>
        <c:axId val="54581211"/>
        <c:axId val="21468852"/>
      </c:lineChart>
      <c:cat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812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cfb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431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8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33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9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9</xdr:row>
      <xdr:rowOff>0</xdr:rowOff>
    </xdr:from>
    <xdr:to>
      <xdr:col>1</xdr:col>
      <xdr:colOff>628650</xdr:colOff>
      <xdr:row>10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4954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762000</xdr:colOff>
      <xdr:row>9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33350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7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5</xdr:row>
      <xdr:rowOff>142875</xdr:rowOff>
    </xdr:from>
    <xdr:to>
      <xdr:col>9</xdr:col>
      <xdr:colOff>609600</xdr:colOff>
      <xdr:row>20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19675" y="952500"/>
          <a:ext cx="2447925" cy="232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sponsored by:
Ginsterweg 41
53783 Eitorf
Tel.: (02243) 84 22 48
Fax: (02243) 84 22 45
e-mail:  info@ccfb.de
internet: www.ccfb.de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6</xdr:col>
      <xdr:colOff>247650</xdr:colOff>
      <xdr:row>22</xdr:row>
      <xdr:rowOff>114300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676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8</xdr:row>
      <xdr:rowOff>38100</xdr:rowOff>
    </xdr:from>
    <xdr:to>
      <xdr:col>12</xdr:col>
      <xdr:colOff>9525</xdr:colOff>
      <xdr:row>10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00625" y="1333500"/>
          <a:ext cx="4152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ccfb Prof. Dr. Wiedemann Consulting
</a:t>
          </a:r>
        </a:p>
      </xdr:txBody>
    </xdr:sp>
    <xdr:clientData/>
  </xdr:twoCellAnchor>
  <xdr:twoCellAnchor editAs="oneCell">
    <xdr:from>
      <xdr:col>8</xdr:col>
      <xdr:colOff>295275</xdr:colOff>
      <xdr:row>11</xdr:row>
      <xdr:rowOff>19050</xdr:rowOff>
    </xdr:from>
    <xdr:to>
      <xdr:col>11</xdr:col>
      <xdr:colOff>333375</xdr:colOff>
      <xdr:row>21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1800225"/>
          <a:ext cx="2324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27</xdr:row>
      <xdr:rowOff>114300</xdr:rowOff>
    </xdr:from>
    <xdr:to>
      <xdr:col>9</xdr:col>
      <xdr:colOff>657225</xdr:colOff>
      <xdr:row>31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00275" y="4486275"/>
          <a:ext cx="5314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... mehr Informationen über uns finden Sie im Internet unter www.ccfb.de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4" customWidth="1"/>
    <col min="2" max="11" width="10.7109375" style="4" customWidth="1"/>
    <col min="12" max="16384" width="11.421875" style="4" customWidth="1"/>
  </cols>
  <sheetData>
    <row r="1" s="1" customFormat="1" ht="12.75">
      <c r="C1" s="10"/>
    </row>
    <row r="2" s="1" customFormat="1" ht="12.75"/>
    <row r="3" s="1" customFormat="1" ht="15.75">
      <c r="D3" s="65" t="s">
        <v>42</v>
      </c>
    </row>
    <row r="4" s="1" customFormat="1" ht="12.75"/>
    <row r="5" spans="3:4" s="1" customFormat="1" ht="12.75">
      <c r="C5" s="3"/>
      <c r="D5" s="64" t="s">
        <v>39</v>
      </c>
    </row>
    <row r="6" spans="3:4" s="1" customFormat="1" ht="12.75">
      <c r="C6" s="3"/>
      <c r="D6" s="64" t="s">
        <v>40</v>
      </c>
    </row>
    <row r="7" spans="3:4" s="1" customFormat="1" ht="12.75">
      <c r="C7" s="3"/>
      <c r="D7" s="64" t="s">
        <v>41</v>
      </c>
    </row>
    <row r="8" s="1" customFormat="1" ht="12.75">
      <c r="C8" s="3"/>
    </row>
    <row r="9" ht="12.75"/>
    <row r="10" spans="1:11" s="36" customFormat="1" ht="12.75">
      <c r="A10" s="28" t="s">
        <v>0</v>
      </c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</row>
    <row r="11" spans="1:11" s="36" customFormat="1" ht="12.75">
      <c r="A11" s="28" t="s">
        <v>3</v>
      </c>
      <c r="B11" s="37">
        <f>Zinsstrukturen!B13</f>
        <v>0.04555</v>
      </c>
      <c r="C11" s="37">
        <f>Zinsstrukturen!C13</f>
        <v>0.04655</v>
      </c>
      <c r="D11" s="37">
        <f>Zinsstrukturen!D13</f>
        <v>0.0478</v>
      </c>
      <c r="E11" s="37">
        <f>Zinsstrukturen!E13</f>
        <v>0.04755</v>
      </c>
      <c r="F11" s="37">
        <f>Zinsstrukturen!F13</f>
        <v>0.05025</v>
      </c>
      <c r="G11" s="37">
        <f>Zinsstrukturen!G13</f>
        <v>0.05145</v>
      </c>
      <c r="H11" s="37">
        <f>Zinsstrukturen!H13</f>
        <v>0.0526</v>
      </c>
      <c r="I11" s="37">
        <f>Zinsstrukturen!I13</f>
        <v>0.0536</v>
      </c>
      <c r="J11" s="37">
        <f>Zinsstrukturen!J13</f>
        <v>0.0544</v>
      </c>
      <c r="K11" s="37">
        <f>Zinsstrukturen!K13</f>
        <v>0.0551</v>
      </c>
    </row>
    <row r="12" spans="1:11" s="36" customFormat="1" ht="12.75">
      <c r="A12" s="28" t="s">
        <v>4</v>
      </c>
      <c r="B12" s="38">
        <f>Zinsstrukturen!B16</f>
        <v>0.04554999999999998</v>
      </c>
      <c r="C12" s="38">
        <f>Zinsstrukturen!C16</f>
        <v>0.04657329803897081</v>
      </c>
      <c r="D12" s="38">
        <f>Zinsstrukturen!D16</f>
        <v>0.04787681538531574</v>
      </c>
      <c r="E12" s="38">
        <f>Zinsstrukturen!E16</f>
        <v>0.04758885479599395</v>
      </c>
      <c r="F12" s="38">
        <f>Zinsstrukturen!F16</f>
        <v>0.05057035091045048</v>
      </c>
      <c r="G12" s="38">
        <f>Zinsstrukturen!G16</f>
        <v>0.051891398897681684</v>
      </c>
      <c r="H12" s="38">
        <f>Zinsstrukturen!H16</f>
        <v>0.053189324051500675</v>
      </c>
      <c r="I12" s="38">
        <f>Zinsstrukturen!I16</f>
        <v>0.054340318845813806</v>
      </c>
      <c r="J12" s="38">
        <f>Zinsstrukturen!J16</f>
        <v>0.055272506116483155</v>
      </c>
      <c r="K12" s="38">
        <f>Zinsstrukturen!K16</f>
        <v>0.056104766245960835</v>
      </c>
    </row>
    <row r="13" spans="1:11" s="36" customFormat="1" ht="12.75">
      <c r="A13" s="28" t="s">
        <v>17</v>
      </c>
      <c r="B13" s="39">
        <f>Zinsstrukturen!B82</f>
        <v>0.04759759759759787</v>
      </c>
      <c r="C13" s="39">
        <f>Zinsstrukturen!C82</f>
        <v>0.04900756640238166</v>
      </c>
      <c r="D13" s="39">
        <f>Zinsstrukturen!D82</f>
        <v>0.048282232013083334</v>
      </c>
      <c r="E13" s="39">
        <f>Zinsstrukturen!E82</f>
        <v>0.051574552151298254</v>
      </c>
      <c r="F13" s="39">
        <f>Zinsstrukturen!F82</f>
        <v>0.0528156790582631</v>
      </c>
      <c r="G13" s="39">
        <f>Zinsstrukturen!G82</f>
        <v>0.05399669251177207</v>
      </c>
      <c r="H13" s="39">
        <f>Zinsstrukturen!H82</f>
        <v>0.055004314033821014</v>
      </c>
      <c r="I13" s="39">
        <f>Zinsstrukturen!I82</f>
        <v>0.055787887160417646</v>
      </c>
      <c r="J13" s="39">
        <f>Zinsstrukturen!J82</f>
        <v>0.05646773963102245</v>
      </c>
      <c r="K13" s="32"/>
    </row>
    <row r="14" spans="1:11" ht="12.75">
      <c r="A14" s="30" t="s">
        <v>1</v>
      </c>
      <c r="B14" s="31">
        <f>A26</f>
        <v>0.9564344125101621</v>
      </c>
      <c r="C14" s="31">
        <f>A25</f>
        <v>0.9129788142923432</v>
      </c>
      <c r="D14" s="31">
        <f>A24</f>
        <v>0.8690991102871158</v>
      </c>
      <c r="E14" s="31">
        <f>A23</f>
        <v>0.8303028384052202</v>
      </c>
      <c r="F14" s="31">
        <f>A22</f>
        <v>0.781401606694963</v>
      </c>
      <c r="G14" s="31">
        <f>A21</f>
        <v>0.738200909749712</v>
      </c>
      <c r="H14" s="31">
        <f>A20</f>
        <v>0.6957526405129979</v>
      </c>
      <c r="I14" s="31">
        <f>A19</f>
        <v>0.6548675685084895</v>
      </c>
      <c r="J14" s="31">
        <f>A18</f>
        <v>0.6161953131522392</v>
      </c>
      <c r="K14" s="31">
        <f>A17</f>
        <v>0.5793352761845898</v>
      </c>
    </row>
    <row r="15" spans="1:11" ht="12.75">
      <c r="A15" s="30" t="s">
        <v>2</v>
      </c>
      <c r="B15" s="31">
        <f>1/B14</f>
        <v>1.04555</v>
      </c>
      <c r="C15" s="31">
        <f aca="true" t="shared" si="0" ref="C15:K15">1/C14</f>
        <v>1.0953156681681684</v>
      </c>
      <c r="D15" s="31">
        <f t="shared" si="0"/>
        <v>1.150616757241461</v>
      </c>
      <c r="E15" s="31">
        <f t="shared" si="0"/>
        <v>1.2043798403974153</v>
      </c>
      <c r="F15" s="31">
        <f t="shared" si="0"/>
        <v>1.2797516557837993</v>
      </c>
      <c r="G15" s="31">
        <f t="shared" si="0"/>
        <v>1.35464476783028</v>
      </c>
      <c r="H15" s="31">
        <f t="shared" si="0"/>
        <v>1.4372924251680483</v>
      </c>
      <c r="I15" s="31">
        <f t="shared" si="0"/>
        <v>1.5270262998022268</v>
      </c>
      <c r="J15" s="31">
        <f t="shared" si="0"/>
        <v>1.6228620676849206</v>
      </c>
      <c r="K15" s="31">
        <f t="shared" si="0"/>
        <v>1.7261161905862894</v>
      </c>
    </row>
    <row r="16" spans="1:11" ht="12.75">
      <c r="A16" s="30" t="s">
        <v>4</v>
      </c>
      <c r="B16" s="32">
        <f>B15-1</f>
        <v>0.04554999999999998</v>
      </c>
      <c r="C16" s="32">
        <f>(C15)^(1/2)-1</f>
        <v>0.04657329803897081</v>
      </c>
      <c r="D16" s="32">
        <f>(D15)^(1/3)-1</f>
        <v>0.04787681538531574</v>
      </c>
      <c r="E16" s="32">
        <f>(E15)^(1/4)-1</f>
        <v>0.04758885479599395</v>
      </c>
      <c r="F16" s="32">
        <f>(F15)^(1/5)-1</f>
        <v>0.05057035091045048</v>
      </c>
      <c r="G16" s="32">
        <f>(G15)^(1/6)-1</f>
        <v>0.051891398897681684</v>
      </c>
      <c r="H16" s="32">
        <f>(H15)^(1/7)-1</f>
        <v>0.053189324051500675</v>
      </c>
      <c r="I16" s="32">
        <f>(I15)^(1/8)-1</f>
        <v>0.054340318845813806</v>
      </c>
      <c r="J16" s="32">
        <f>(J15)^(1/9)-1</f>
        <v>0.055272506116483155</v>
      </c>
      <c r="K16" s="32">
        <f>(K15)^(1/10)-1</f>
        <v>0.056104766245960835</v>
      </c>
    </row>
    <row r="17" spans="1:11" ht="12.75">
      <c r="A17" s="33">
        <f>bar(K17,K11)-J17*(SUM(B14:J14))</f>
        <v>0.5793352761845898</v>
      </c>
      <c r="B17" s="34"/>
      <c r="C17" s="34"/>
      <c r="D17" s="34"/>
      <c r="E17" s="34"/>
      <c r="F17" s="34"/>
      <c r="G17" s="34"/>
      <c r="H17" s="34"/>
      <c r="I17" s="34"/>
      <c r="J17" s="34">
        <f>1-bar(K17,K$11)</f>
        <v>0.052222538148042785</v>
      </c>
      <c r="K17" s="34">
        <v>1</v>
      </c>
    </row>
    <row r="18" spans="1:11" ht="12.75">
      <c r="A18" s="33">
        <f>bar(J18,J11)-I18*(SUM(B14:I14))</f>
        <v>0.6161953131522392</v>
      </c>
      <c r="B18" s="34"/>
      <c r="C18" s="34"/>
      <c r="D18" s="34"/>
      <c r="E18" s="34"/>
      <c r="F18" s="34"/>
      <c r="G18" s="34"/>
      <c r="H18" s="34"/>
      <c r="I18" s="34">
        <f>1-bar(J18,J$11)</f>
        <v>0.0515933232169955</v>
      </c>
      <c r="J18" s="34">
        <v>1</v>
      </c>
      <c r="K18" s="34"/>
    </row>
    <row r="19" spans="1:11" ht="12.75">
      <c r="A19" s="33">
        <f>bar(I19,I11)-H19*(SUM(B14:H14))</f>
        <v>0.6548675685084895</v>
      </c>
      <c r="B19" s="34"/>
      <c r="C19" s="34"/>
      <c r="D19" s="34"/>
      <c r="E19" s="34"/>
      <c r="F19" s="34"/>
      <c r="G19" s="34"/>
      <c r="H19" s="34">
        <f>1-bar(I19,I$11)</f>
        <v>0.05087319665907375</v>
      </c>
      <c r="I19" s="34">
        <v>1</v>
      </c>
      <c r="J19" s="34"/>
      <c r="K19" s="34"/>
    </row>
    <row r="20" spans="1:11" ht="12.75">
      <c r="A20" s="33">
        <f>bar(H20,H11)-G20*(SUM(B14:G14))</f>
        <v>0.6957526405129979</v>
      </c>
      <c r="B20" s="34"/>
      <c r="C20" s="34"/>
      <c r="D20" s="34"/>
      <c r="E20" s="34"/>
      <c r="F20" s="34"/>
      <c r="G20" s="34">
        <f>1-bar(H20,H$11)</f>
        <v>0.04997149914497434</v>
      </c>
      <c r="H20" s="34">
        <v>1</v>
      </c>
      <c r="I20" s="34"/>
      <c r="J20" s="34"/>
      <c r="K20" s="34"/>
    </row>
    <row r="21" spans="1:11" ht="12.75">
      <c r="A21" s="33">
        <f>bar(G21,G11)-F21*(SUM(B14:F14))</f>
        <v>0.738200909749712</v>
      </c>
      <c r="B21" s="34"/>
      <c r="C21" s="34"/>
      <c r="D21" s="34"/>
      <c r="E21" s="34"/>
      <c r="F21" s="34">
        <f>1-bar(G21,G$11)</f>
        <v>0.048932426648913396</v>
      </c>
      <c r="G21" s="34">
        <v>1</v>
      </c>
      <c r="H21" s="34"/>
      <c r="I21" s="34"/>
      <c r="J21" s="34"/>
      <c r="K21" s="34"/>
    </row>
    <row r="22" spans="1:11" ht="12.75">
      <c r="A22" s="33">
        <f>bar(F22,F11)-E22*(SUM(B14:E14))</f>
        <v>0.781401606694963</v>
      </c>
      <c r="B22" s="34"/>
      <c r="C22" s="34"/>
      <c r="D22" s="34"/>
      <c r="E22" s="34">
        <f>1-bar(F22,F11)</f>
        <v>0.04784575101166377</v>
      </c>
      <c r="F22" s="34">
        <v>1</v>
      </c>
      <c r="G22" s="34"/>
      <c r="H22" s="34"/>
      <c r="I22" s="34"/>
      <c r="J22" s="34"/>
      <c r="K22" s="34"/>
    </row>
    <row r="23" spans="1:11" ht="12.75">
      <c r="A23" s="33">
        <f>bar(E23,E11)-D23*(SUM(B14:D14))</f>
        <v>0.8303028384052202</v>
      </c>
      <c r="B23" s="34"/>
      <c r="C23" s="34"/>
      <c r="D23" s="34">
        <f>1-bar(E23,E11)</f>
        <v>0.045391628084578306</v>
      </c>
      <c r="E23" s="34">
        <v>1</v>
      </c>
      <c r="F23" s="34"/>
      <c r="G23" s="34"/>
      <c r="H23" s="34"/>
      <c r="I23" s="34"/>
      <c r="J23" s="34"/>
      <c r="K23" s="34"/>
    </row>
    <row r="24" spans="1:11" ht="12.75">
      <c r="A24" s="33">
        <f>bar(D24,D11)-C24*(B14+C14)</f>
        <v>0.8690991102871158</v>
      </c>
      <c r="B24" s="34"/>
      <c r="C24" s="34">
        <f>1-bar(D24,D11)</f>
        <v>0.04561939301393403</v>
      </c>
      <c r="D24" s="34">
        <v>1</v>
      </c>
      <c r="E24" s="34"/>
      <c r="F24" s="34"/>
      <c r="G24" s="34"/>
      <c r="H24" s="34"/>
      <c r="I24" s="34"/>
      <c r="J24" s="34"/>
      <c r="K24" s="34"/>
    </row>
    <row r="25" spans="1:11" ht="12.75">
      <c r="A25" s="33">
        <f>bar(C25,C11)-B25*B14</f>
        <v>0.9129788142923432</v>
      </c>
      <c r="B25" s="34">
        <f>1-bar(C25,C11)</f>
        <v>0.04447948019683734</v>
      </c>
      <c r="C25" s="34">
        <v>1</v>
      </c>
      <c r="D25" s="34"/>
      <c r="E25" s="34"/>
      <c r="F25" s="34"/>
      <c r="G25" s="34"/>
      <c r="H25" s="34"/>
      <c r="I25" s="34"/>
      <c r="J25" s="34"/>
      <c r="K25" s="34"/>
    </row>
    <row r="26" spans="1:11" ht="12.75">
      <c r="A26" s="33">
        <f>bar(B26,B11)</f>
        <v>0.9564344125101621</v>
      </c>
      <c r="B26" s="34">
        <v>1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5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heetProtection password="EF20" sheet="1" objects="1" scenarios="1"/>
  <hyperlinks>
    <hyperlink ref="D6" r:id="rId1" display="zinsrisiko.de"/>
    <hyperlink ref="D7" r:id="rId2" display="banklehrstuhl.de"/>
    <hyperlink ref="D5" r:id="rId3" display="ccfb.de"/>
  </hyperlinks>
  <printOptions/>
  <pageMargins left="0.75" right="0.75" top="1" bottom="1" header="0.4921259845" footer="0.4921259845"/>
  <pageSetup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7" topLeftCell="BM78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4" customWidth="1"/>
  </cols>
  <sheetData>
    <row r="1" spans="3:7" s="9" customFormat="1" ht="12.75">
      <c r="C1" s="10"/>
      <c r="E1" s="1"/>
      <c r="G1" s="20"/>
    </row>
    <row r="2" spans="3:4" s="9" customFormat="1" ht="12.75">
      <c r="C2" s="1"/>
      <c r="D2" s="1"/>
    </row>
    <row r="3" spans="3:4" s="9" customFormat="1" ht="12.75">
      <c r="C3" s="1"/>
      <c r="D3" s="1"/>
    </row>
    <row r="4" spans="3:5" s="9" customFormat="1" ht="15.75">
      <c r="C4" s="1"/>
      <c r="D4" s="65" t="s">
        <v>42</v>
      </c>
      <c r="E4" s="1"/>
    </row>
    <row r="5" spans="3:5" s="9" customFormat="1" ht="12.75">
      <c r="C5" s="3"/>
      <c r="D5" s="1"/>
      <c r="E5" s="1"/>
    </row>
    <row r="6" spans="3:5" s="9" customFormat="1" ht="12.75">
      <c r="C6" s="3"/>
      <c r="D6" s="64" t="s">
        <v>39</v>
      </c>
      <c r="E6" s="1"/>
    </row>
    <row r="7" spans="3:5" s="9" customFormat="1" ht="12.75">
      <c r="C7" s="10"/>
      <c r="D7" s="64" t="s">
        <v>40</v>
      </c>
      <c r="E7" s="1"/>
    </row>
    <row r="8" spans="3:5" s="9" customFormat="1" ht="12.75">
      <c r="C8" s="10"/>
      <c r="D8" s="64" t="s">
        <v>41</v>
      </c>
      <c r="E8" s="1"/>
    </row>
    <row r="9" spans="3:5" s="9" customFormat="1" ht="12.75">
      <c r="C9" s="10"/>
      <c r="E9" s="1"/>
    </row>
    <row r="10" s="11" customFormat="1" ht="12.75">
      <c r="C10" s="19"/>
    </row>
    <row r="11" ht="13.5" thickBot="1"/>
    <row r="12" spans="1:11" ht="12.75">
      <c r="A12" s="21" t="s">
        <v>0</v>
      </c>
      <c r="B12" s="22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2">
        <v>9</v>
      </c>
      <c r="K12" s="23">
        <v>10</v>
      </c>
    </row>
    <row r="13" spans="1:11" ht="12.75">
      <c r="A13" s="24" t="s">
        <v>3</v>
      </c>
      <c r="B13" s="43">
        <v>0.04555</v>
      </c>
      <c r="C13" s="43">
        <v>0.04655</v>
      </c>
      <c r="D13" s="43">
        <v>0.0478</v>
      </c>
      <c r="E13" s="43">
        <v>0.04755</v>
      </c>
      <c r="F13" s="43">
        <v>0.05025</v>
      </c>
      <c r="G13" s="43">
        <v>0.05145</v>
      </c>
      <c r="H13" s="43">
        <v>0.0526</v>
      </c>
      <c r="I13" s="43">
        <v>0.0536</v>
      </c>
      <c r="J13" s="43">
        <v>0.0544</v>
      </c>
      <c r="K13" s="44">
        <v>0.0551</v>
      </c>
    </row>
    <row r="14" spans="1:11" ht="12.75">
      <c r="A14" s="25" t="s">
        <v>1</v>
      </c>
      <c r="B14" s="12">
        <f>Zinsstrukturkurve!B14</f>
        <v>0.9564344125101621</v>
      </c>
      <c r="C14" s="12">
        <f>Zinsstrukturkurve!C14</f>
        <v>0.9129788142923432</v>
      </c>
      <c r="D14" s="12">
        <f>Zinsstrukturkurve!D14</f>
        <v>0.8690991102871158</v>
      </c>
      <c r="E14" s="12">
        <f>Zinsstrukturkurve!E14</f>
        <v>0.8303028384052202</v>
      </c>
      <c r="F14" s="12">
        <f>Zinsstrukturkurve!F14</f>
        <v>0.781401606694963</v>
      </c>
      <c r="G14" s="12">
        <f>Zinsstrukturkurve!G14</f>
        <v>0.738200909749712</v>
      </c>
      <c r="H14" s="12">
        <f>Zinsstrukturkurve!H14</f>
        <v>0.6957526405129979</v>
      </c>
      <c r="I14" s="12">
        <f>Zinsstrukturkurve!I14</f>
        <v>0.6548675685084895</v>
      </c>
      <c r="J14" s="12">
        <f>Zinsstrukturkurve!J14</f>
        <v>0.6161953131522392</v>
      </c>
      <c r="K14" s="13">
        <f>Zinsstrukturkurve!K14</f>
        <v>0.5793352761845898</v>
      </c>
    </row>
    <row r="15" spans="1:11" ht="12.75">
      <c r="A15" s="24" t="s">
        <v>2</v>
      </c>
      <c r="B15" s="14">
        <f>Zinsstrukturkurve!B15</f>
        <v>1.04555</v>
      </c>
      <c r="C15" s="14">
        <f>Zinsstrukturkurve!C15</f>
        <v>1.0953156681681684</v>
      </c>
      <c r="D15" s="14">
        <f>Zinsstrukturkurve!D15</f>
        <v>1.150616757241461</v>
      </c>
      <c r="E15" s="14">
        <f>Zinsstrukturkurve!E15</f>
        <v>1.2043798403974153</v>
      </c>
      <c r="F15" s="14">
        <f>Zinsstrukturkurve!F15</f>
        <v>1.2797516557837993</v>
      </c>
      <c r="G15" s="14">
        <f>Zinsstrukturkurve!G15</f>
        <v>1.35464476783028</v>
      </c>
      <c r="H15" s="14">
        <f>Zinsstrukturkurve!H15</f>
        <v>1.4372924251680483</v>
      </c>
      <c r="I15" s="14">
        <f>Zinsstrukturkurve!I15</f>
        <v>1.5270262998022268</v>
      </c>
      <c r="J15" s="14">
        <f>Zinsstrukturkurve!J15</f>
        <v>1.6228620676849206</v>
      </c>
      <c r="K15" s="15">
        <f>Zinsstrukturkurve!K15</f>
        <v>1.7261161905862894</v>
      </c>
    </row>
    <row r="16" spans="1:11" ht="13.5" thickBot="1">
      <c r="A16" s="26" t="s">
        <v>4</v>
      </c>
      <c r="B16" s="41">
        <f>Zinsstrukturkurve!B16</f>
        <v>0.04554999999999998</v>
      </c>
      <c r="C16" s="41">
        <f>Zinsstrukturkurve!C16</f>
        <v>0.04657329803897081</v>
      </c>
      <c r="D16" s="41">
        <f>Zinsstrukturkurve!D16</f>
        <v>0.04787681538531574</v>
      </c>
      <c r="E16" s="41">
        <f>Zinsstrukturkurve!E16</f>
        <v>0.04758885479599395</v>
      </c>
      <c r="F16" s="41">
        <f>Zinsstrukturkurve!F16</f>
        <v>0.05057035091045048</v>
      </c>
      <c r="G16" s="41">
        <f>Zinsstrukturkurve!G16</f>
        <v>0.051891398897681684</v>
      </c>
      <c r="H16" s="41">
        <f>Zinsstrukturkurve!H16</f>
        <v>0.053189324051500675</v>
      </c>
      <c r="I16" s="41">
        <f>Zinsstrukturkurve!I16</f>
        <v>0.054340318845813806</v>
      </c>
      <c r="J16" s="41">
        <f>Zinsstrukturkurve!J16</f>
        <v>0.055272506116483155</v>
      </c>
      <c r="K16" s="42">
        <f>Zinsstrukturkurve!K16</f>
        <v>0.056104766245960835</v>
      </c>
    </row>
    <row r="18" ht="27.75" customHeight="1">
      <c r="B18" s="16"/>
    </row>
    <row r="20" ht="18">
      <c r="A20" s="17" t="s">
        <v>7</v>
      </c>
    </row>
    <row r="21" spans="1:11" ht="12.75">
      <c r="A21" s="27" t="s">
        <v>6</v>
      </c>
      <c r="B21" s="28">
        <v>1</v>
      </c>
      <c r="C21" s="28">
        <v>2</v>
      </c>
      <c r="D21" s="28">
        <v>3</v>
      </c>
      <c r="E21" s="28">
        <v>4</v>
      </c>
      <c r="F21" s="28">
        <v>5</v>
      </c>
      <c r="G21" s="28">
        <v>6</v>
      </c>
      <c r="H21" s="28">
        <v>7</v>
      </c>
      <c r="I21" s="28">
        <v>8</v>
      </c>
      <c r="J21" s="28">
        <v>9</v>
      </c>
      <c r="K21" s="28">
        <v>10</v>
      </c>
    </row>
    <row r="22" ht="12.75">
      <c r="A22" s="29" t="s">
        <v>5</v>
      </c>
    </row>
    <row r="23" spans="1:11" ht="12.75">
      <c r="A23" s="28">
        <v>0</v>
      </c>
      <c r="B23" s="18">
        <f>B14</f>
        <v>0.9564344125101621</v>
      </c>
      <c r="C23" s="18">
        <f>C14</f>
        <v>0.9129788142923432</v>
      </c>
      <c r="D23" s="18">
        <f aca="true" t="shared" si="0" ref="D23:K23">D14</f>
        <v>0.8690991102871158</v>
      </c>
      <c r="E23" s="18">
        <f t="shared" si="0"/>
        <v>0.8303028384052202</v>
      </c>
      <c r="F23" s="18">
        <f t="shared" si="0"/>
        <v>0.781401606694963</v>
      </c>
      <c r="G23" s="18">
        <f t="shared" si="0"/>
        <v>0.738200909749712</v>
      </c>
      <c r="H23" s="18">
        <f t="shared" si="0"/>
        <v>0.6957526405129979</v>
      </c>
      <c r="I23" s="18">
        <f t="shared" si="0"/>
        <v>0.6548675685084895</v>
      </c>
      <c r="J23" s="18">
        <f t="shared" si="0"/>
        <v>0.6161953131522392</v>
      </c>
      <c r="K23" s="18">
        <f t="shared" si="0"/>
        <v>0.5793352761845898</v>
      </c>
    </row>
    <row r="24" spans="1:11" ht="12.75">
      <c r="A24" s="28">
        <v>1</v>
      </c>
      <c r="B24" s="18">
        <f>C23/B23</f>
        <v>0.9545649992833594</v>
      </c>
      <c r="C24" s="18">
        <f>D23/B23</f>
        <v>0.9086865747606939</v>
      </c>
      <c r="D24" s="18">
        <f>E23/$B$23</f>
        <v>0.868123132694578</v>
      </c>
      <c r="E24" s="18">
        <f aca="true" t="shared" si="1" ref="E24:J24">F23/$B$23</f>
        <v>0.8169944498799184</v>
      </c>
      <c r="F24" s="18">
        <f t="shared" si="1"/>
        <v>0.7718259611888113</v>
      </c>
      <c r="G24" s="18">
        <f t="shared" si="1"/>
        <v>0.727444173288365</v>
      </c>
      <c r="H24" s="18">
        <f t="shared" si="1"/>
        <v>0.6846967862540512</v>
      </c>
      <c r="I24" s="18">
        <f t="shared" si="1"/>
        <v>0.6442630096663237</v>
      </c>
      <c r="J24" s="18">
        <f t="shared" si="1"/>
        <v>0.6057239980147978</v>
      </c>
      <c r="K24" s="18"/>
    </row>
    <row r="25" spans="1:11" ht="12.75">
      <c r="A25" s="28">
        <v>2</v>
      </c>
      <c r="B25" s="18">
        <f>D23/$C$23</f>
        <v>0.951937872688493</v>
      </c>
      <c r="C25" s="18">
        <f aca="true" t="shared" si="2" ref="C25:I25">E23/$C$23</f>
        <v>0.9094437082297405</v>
      </c>
      <c r="D25" s="18">
        <f t="shared" si="2"/>
        <v>0.8558814229447737</v>
      </c>
      <c r="E25" s="18">
        <f t="shared" si="2"/>
        <v>0.8085630227048556</v>
      </c>
      <c r="F25" s="18">
        <f t="shared" si="2"/>
        <v>0.7620687683232618</v>
      </c>
      <c r="G25" s="18">
        <f t="shared" si="2"/>
        <v>0.7172867083625399</v>
      </c>
      <c r="H25" s="18">
        <f t="shared" si="2"/>
        <v>0.6749283811474386</v>
      </c>
      <c r="I25" s="18">
        <f t="shared" si="2"/>
        <v>0.6345550051275144</v>
      </c>
      <c r="J25" s="18"/>
      <c r="K25" s="18"/>
    </row>
    <row r="26" spans="1:11" ht="12.75">
      <c r="A26" s="28">
        <v>3</v>
      </c>
      <c r="B26" s="18">
        <f>E23/$D$23</f>
        <v>0.9553603594541952</v>
      </c>
      <c r="C26" s="18">
        <f aca="true" t="shared" si="3" ref="C26:H26">F23/$D$23</f>
        <v>0.8990937827986256</v>
      </c>
      <c r="D26" s="18">
        <f t="shared" si="3"/>
        <v>0.8493863369689099</v>
      </c>
      <c r="E26" s="18">
        <f t="shared" si="3"/>
        <v>0.8005446470692495</v>
      </c>
      <c r="F26" s="18">
        <f t="shared" si="3"/>
        <v>0.7535015980998384</v>
      </c>
      <c r="G26" s="18">
        <f t="shared" si="3"/>
        <v>0.709004653046616</v>
      </c>
      <c r="H26" s="18">
        <f t="shared" si="3"/>
        <v>0.6665928768390988</v>
      </c>
      <c r="I26" s="18"/>
      <c r="J26" s="18"/>
      <c r="K26" s="18"/>
    </row>
    <row r="27" spans="1:11" ht="12.75">
      <c r="A27" s="28">
        <v>4</v>
      </c>
      <c r="B27" s="18">
        <f aca="true" t="shared" si="4" ref="B27:G27">F23/$E$23</f>
        <v>0.9411043423575634</v>
      </c>
      <c r="C27" s="18">
        <f t="shared" si="4"/>
        <v>0.8890742938655848</v>
      </c>
      <c r="D27" s="18">
        <f t="shared" si="4"/>
        <v>0.8379504541371247</v>
      </c>
      <c r="E27" s="18">
        <f t="shared" si="4"/>
        <v>0.788709297641698</v>
      </c>
      <c r="F27" s="18">
        <f t="shared" si="4"/>
        <v>0.7421332129079291</v>
      </c>
      <c r="G27" s="18">
        <f t="shared" si="4"/>
        <v>0.6977397274677888</v>
      </c>
      <c r="H27" s="18"/>
      <c r="I27" s="18"/>
      <c r="J27" s="18"/>
      <c r="K27" s="18"/>
    </row>
    <row r="28" spans="1:11" ht="12.75">
      <c r="A28" s="28">
        <v>5</v>
      </c>
      <c r="B28" s="18">
        <f>G23/$F$23</f>
        <v>0.944713836553301</v>
      </c>
      <c r="C28" s="18">
        <f>H23/$F$23</f>
        <v>0.8903905937124595</v>
      </c>
      <c r="D28" s="18">
        <f>I23/$F$23</f>
        <v>0.8380678551178501</v>
      </c>
      <c r="E28" s="18">
        <f>J23/$F$23</f>
        <v>0.7885769722927949</v>
      </c>
      <c r="F28" s="18">
        <f>K23/$F$23</f>
        <v>0.7414052789511935</v>
      </c>
      <c r="G28" s="18"/>
      <c r="H28" s="18"/>
      <c r="I28" s="18"/>
      <c r="J28" s="18"/>
      <c r="K28" s="18"/>
    </row>
    <row r="29" spans="1:11" ht="12.75">
      <c r="A29" s="28">
        <v>6</v>
      </c>
      <c r="B29" s="18">
        <f>H23/$G$23</f>
        <v>0.9424976741750343</v>
      </c>
      <c r="C29" s="18">
        <f>I23/$G$23</f>
        <v>0.8871129253017627</v>
      </c>
      <c r="D29" s="18">
        <f>J23/$G$23</f>
        <v>0.8347257569232217</v>
      </c>
      <c r="E29" s="18">
        <f>K23/$G$23</f>
        <v>0.7847935007029647</v>
      </c>
      <c r="F29" s="18"/>
      <c r="G29" s="18"/>
      <c r="H29" s="18"/>
      <c r="I29" s="18"/>
      <c r="J29" s="18"/>
      <c r="K29" s="18"/>
    </row>
    <row r="30" spans="1:11" ht="12.75">
      <c r="A30" s="28">
        <v>7</v>
      </c>
      <c r="B30" s="18">
        <f>I23/$H$23</f>
        <v>0.9412361957054698</v>
      </c>
      <c r="C30" s="18">
        <f>J23/$H$23</f>
        <v>0.8856528560177668</v>
      </c>
      <c r="D30" s="18">
        <f>K23/$H$23</f>
        <v>0.8326742040927501</v>
      </c>
      <c r="E30" s="18"/>
      <c r="F30" s="18"/>
      <c r="G30" s="18"/>
      <c r="H30" s="18"/>
      <c r="I30" s="18"/>
      <c r="J30" s="18"/>
      <c r="K30" s="18"/>
    </row>
    <row r="31" spans="1:11" ht="12.75">
      <c r="A31" s="28">
        <v>8</v>
      </c>
      <c r="B31" s="18">
        <f>J23/$I$23</f>
        <v>0.9409464489983382</v>
      </c>
      <c r="C31" s="18">
        <f>K23/$I$23</f>
        <v>0.8846602031370553</v>
      </c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28">
        <v>9</v>
      </c>
      <c r="B32" s="18">
        <f>K23/J23</f>
        <v>0.9401812441917379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>
      <c r="A33" s="28">
        <v>10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41" ht="18">
      <c r="A41" s="17" t="s">
        <v>10</v>
      </c>
    </row>
    <row r="42" spans="1:11" ht="12.75">
      <c r="A42" s="27" t="s">
        <v>6</v>
      </c>
      <c r="B42" s="28">
        <v>1</v>
      </c>
      <c r="C42" s="28">
        <v>2</v>
      </c>
      <c r="D42" s="28">
        <v>3</v>
      </c>
      <c r="E42" s="28">
        <v>4</v>
      </c>
      <c r="F42" s="28">
        <v>5</v>
      </c>
      <c r="G42" s="28">
        <v>6</v>
      </c>
      <c r="H42" s="28">
        <v>7</v>
      </c>
      <c r="I42" s="28">
        <v>8</v>
      </c>
      <c r="J42" s="28">
        <v>9</v>
      </c>
      <c r="K42" s="28">
        <v>10</v>
      </c>
    </row>
    <row r="43" ht="12.75">
      <c r="A43" s="29" t="s">
        <v>5</v>
      </c>
    </row>
    <row r="44" spans="1:11" ht="12.75">
      <c r="A44" s="28">
        <v>0</v>
      </c>
      <c r="B44" s="18">
        <f>B15</f>
        <v>1.04555</v>
      </c>
      <c r="C44" s="18">
        <f aca="true" t="shared" si="5" ref="C44:K44">C15</f>
        <v>1.0953156681681684</v>
      </c>
      <c r="D44" s="18">
        <f t="shared" si="5"/>
        <v>1.150616757241461</v>
      </c>
      <c r="E44" s="18">
        <f t="shared" si="5"/>
        <v>1.2043798403974153</v>
      </c>
      <c r="F44" s="18">
        <f t="shared" si="5"/>
        <v>1.2797516557837993</v>
      </c>
      <c r="G44" s="18">
        <f t="shared" si="5"/>
        <v>1.35464476783028</v>
      </c>
      <c r="H44" s="18">
        <f t="shared" si="5"/>
        <v>1.4372924251680483</v>
      </c>
      <c r="I44" s="18">
        <f t="shared" si="5"/>
        <v>1.5270262998022268</v>
      </c>
      <c r="J44" s="18">
        <f t="shared" si="5"/>
        <v>1.6228620676849206</v>
      </c>
      <c r="K44" s="18">
        <f t="shared" si="5"/>
        <v>1.7261161905862894</v>
      </c>
    </row>
    <row r="45" spans="1:11" ht="12.75">
      <c r="A45" s="28">
        <v>1</v>
      </c>
      <c r="B45" s="18">
        <f>C44/$B$44</f>
        <v>1.0475975975975977</v>
      </c>
      <c r="C45" s="18">
        <f aca="true" t="shared" si="6" ref="C45:J45">D44/$B$44</f>
        <v>1.1004894622365846</v>
      </c>
      <c r="D45" s="18">
        <f t="shared" si="6"/>
        <v>1.1519103250895848</v>
      </c>
      <c r="E45" s="18">
        <f t="shared" si="6"/>
        <v>1.2239985230584853</v>
      </c>
      <c r="F45" s="18">
        <f t="shared" si="6"/>
        <v>1.2956288726797187</v>
      </c>
      <c r="G45" s="18">
        <f t="shared" si="6"/>
        <v>1.3746759362709084</v>
      </c>
      <c r="H45" s="18">
        <f t="shared" si="6"/>
        <v>1.4605005019389095</v>
      </c>
      <c r="I45" s="18">
        <f t="shared" si="6"/>
        <v>1.552161128291254</v>
      </c>
      <c r="J45" s="18">
        <f t="shared" si="6"/>
        <v>1.6509169246676767</v>
      </c>
      <c r="K45" s="18"/>
    </row>
    <row r="46" spans="1:11" ht="12.75">
      <c r="A46" s="28">
        <v>2</v>
      </c>
      <c r="B46" s="18">
        <f>D44/$C$44</f>
        <v>1.0504887227312099</v>
      </c>
      <c r="C46" s="18">
        <f aca="true" t="shared" si="7" ref="C46:I46">E44/$C$44</f>
        <v>1.0995732786436339</v>
      </c>
      <c r="D46" s="18">
        <f t="shared" si="7"/>
        <v>1.168386149286156</v>
      </c>
      <c r="E46" s="18">
        <f t="shared" si="7"/>
        <v>1.2367619739210156</v>
      </c>
      <c r="F46" s="18">
        <f t="shared" si="7"/>
        <v>1.3122175341212912</v>
      </c>
      <c r="G46" s="18">
        <f t="shared" si="7"/>
        <v>1.3941426605866611</v>
      </c>
      <c r="H46" s="18">
        <f t="shared" si="7"/>
        <v>1.4816386863149993</v>
      </c>
      <c r="I46" s="18">
        <f t="shared" si="7"/>
        <v>1.5759075130122868</v>
      </c>
      <c r="J46" s="18"/>
      <c r="K46" s="18"/>
    </row>
    <row r="47" spans="1:11" ht="12.75">
      <c r="A47" s="28">
        <v>3</v>
      </c>
      <c r="B47" s="18">
        <f>E44/$D$44</f>
        <v>1.0467254477371322</v>
      </c>
      <c r="C47" s="18">
        <f aca="true" t="shared" si="8" ref="C47:H47">F44/$D$44</f>
        <v>1.1122310254301633</v>
      </c>
      <c r="D47" s="18">
        <f t="shared" si="8"/>
        <v>1.177320562476393</v>
      </c>
      <c r="E47" s="18">
        <f t="shared" si="8"/>
        <v>1.2491495679359617</v>
      </c>
      <c r="F47" s="18">
        <f t="shared" si="8"/>
        <v>1.327137198543142</v>
      </c>
      <c r="G47" s="18">
        <f t="shared" si="8"/>
        <v>1.4104279791436736</v>
      </c>
      <c r="H47" s="18">
        <f t="shared" si="8"/>
        <v>1.5001660454907297</v>
      </c>
      <c r="I47" s="18"/>
      <c r="J47" s="18"/>
      <c r="K47" s="18"/>
    </row>
    <row r="48" spans="1:11" ht="12.75">
      <c r="A48" s="28">
        <v>4</v>
      </c>
      <c r="B48" s="18">
        <f aca="true" t="shared" si="9" ref="B48:G48">F44/$E$44</f>
        <v>1.062581432251069</v>
      </c>
      <c r="C48" s="18">
        <f t="shared" si="9"/>
        <v>1.124765395760262</v>
      </c>
      <c r="D48" s="18">
        <f t="shared" si="9"/>
        <v>1.193387980235353</v>
      </c>
      <c r="E48" s="18">
        <f t="shared" si="9"/>
        <v>1.2678942710452097</v>
      </c>
      <c r="F48" s="18">
        <f t="shared" si="9"/>
        <v>1.3474669811389541</v>
      </c>
      <c r="G48" s="18">
        <f t="shared" si="9"/>
        <v>1.433199172461002</v>
      </c>
      <c r="H48" s="18"/>
      <c r="I48" s="18"/>
      <c r="J48" s="18"/>
      <c r="K48" s="18"/>
    </row>
    <row r="49" spans="1:11" ht="12.75">
      <c r="A49" s="28">
        <v>5</v>
      </c>
      <c r="B49" s="18">
        <f>G44/$F$44</f>
        <v>1.0585215980835059</v>
      </c>
      <c r="C49" s="18">
        <f>H44/$F$44</f>
        <v>1.1231026103168127</v>
      </c>
      <c r="D49" s="18">
        <f>I44/$F$44</f>
        <v>1.1932208041309242</v>
      </c>
      <c r="E49" s="18">
        <f>J44/$F$44</f>
        <v>1.2681070271333066</v>
      </c>
      <c r="F49" s="18">
        <f>K44/$F$44</f>
        <v>1.3487899646663155</v>
      </c>
      <c r="G49" s="18"/>
      <c r="H49" s="18"/>
      <c r="I49" s="18"/>
      <c r="J49" s="18"/>
      <c r="K49" s="18"/>
    </row>
    <row r="50" spans="1:11" ht="12.75">
      <c r="A50" s="28">
        <v>6</v>
      </c>
      <c r="B50" s="18">
        <f>H44/$G$44</f>
        <v>1.0610105758354231</v>
      </c>
      <c r="C50" s="18">
        <f>I44/$G$44</f>
        <v>1.1272522037257402</v>
      </c>
      <c r="D50" s="18">
        <f>J44/$G$44</f>
        <v>1.197998254763307</v>
      </c>
      <c r="E50" s="18">
        <f>K44/$G$44</f>
        <v>1.274220542224506</v>
      </c>
      <c r="F50" s="18"/>
      <c r="G50" s="18"/>
      <c r="H50" s="18"/>
      <c r="I50" s="18"/>
      <c r="J50" s="18"/>
      <c r="K50" s="18"/>
    </row>
    <row r="51" spans="1:11" ht="12.75">
      <c r="A51" s="28">
        <v>7</v>
      </c>
      <c r="B51" s="18">
        <f>I44/$H$44</f>
        <v>1.062432580220192</v>
      </c>
      <c r="C51" s="18">
        <f>J44/$H$44</f>
        <v>1.129110568780167</v>
      </c>
      <c r="D51" s="18">
        <f>K44/$H$44</f>
        <v>1.2009498974326478</v>
      </c>
      <c r="E51" s="18"/>
      <c r="F51" s="18"/>
      <c r="G51" s="18"/>
      <c r="H51" s="18"/>
      <c r="I51" s="18"/>
      <c r="J51" s="18"/>
      <c r="K51" s="18"/>
    </row>
    <row r="52" spans="1:11" ht="12.75">
      <c r="A52" s="28">
        <v>8</v>
      </c>
      <c r="B52" s="18">
        <f>J44/$I$44</f>
        <v>1.0627597362894836</v>
      </c>
      <c r="C52" s="18">
        <f>K44/$I$44</f>
        <v>1.1303775126923798</v>
      </c>
      <c r="D52" s="18"/>
      <c r="E52" s="18"/>
      <c r="F52" s="18"/>
      <c r="G52" s="18"/>
      <c r="H52" s="18"/>
      <c r="I52" s="18"/>
      <c r="J52" s="18"/>
      <c r="K52" s="18"/>
    </row>
    <row r="53" spans="1:11" ht="12.75">
      <c r="A53" s="28">
        <v>9</v>
      </c>
      <c r="B53" s="18">
        <f>K44/J44</f>
        <v>1.0636247065954687</v>
      </c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75">
      <c r="A54" s="28">
        <v>10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7" ht="18">
      <c r="A57" s="17" t="s">
        <v>8</v>
      </c>
    </row>
    <row r="58" spans="1:11" ht="12.75">
      <c r="A58" s="27" t="s">
        <v>6</v>
      </c>
      <c r="B58" s="28">
        <v>1</v>
      </c>
      <c r="C58" s="28">
        <v>2</v>
      </c>
      <c r="D58" s="28">
        <v>3</v>
      </c>
      <c r="E58" s="28">
        <v>4</v>
      </c>
      <c r="F58" s="28">
        <v>5</v>
      </c>
      <c r="G58" s="28">
        <v>6</v>
      </c>
      <c r="H58" s="28">
        <v>7</v>
      </c>
      <c r="I58" s="28">
        <v>8</v>
      </c>
      <c r="J58" s="28">
        <v>9</v>
      </c>
      <c r="K58" s="28">
        <v>10</v>
      </c>
    </row>
    <row r="59" ht="12.75">
      <c r="A59" s="29" t="s">
        <v>5</v>
      </c>
    </row>
    <row r="60" spans="1:11" ht="12.75">
      <c r="A60" s="28">
        <v>0</v>
      </c>
      <c r="B60" s="40">
        <f>B16</f>
        <v>0.04554999999999998</v>
      </c>
      <c r="C60" s="40">
        <f aca="true" t="shared" si="10" ref="C60:K60">C16</f>
        <v>0.04657329803897081</v>
      </c>
      <c r="D60" s="40">
        <f t="shared" si="10"/>
        <v>0.04787681538531574</v>
      </c>
      <c r="E60" s="40">
        <f t="shared" si="10"/>
        <v>0.04758885479599395</v>
      </c>
      <c r="F60" s="40">
        <f t="shared" si="10"/>
        <v>0.05057035091045048</v>
      </c>
      <c r="G60" s="40">
        <f t="shared" si="10"/>
        <v>0.051891398897681684</v>
      </c>
      <c r="H60" s="40">
        <f t="shared" si="10"/>
        <v>0.053189324051500675</v>
      </c>
      <c r="I60" s="40">
        <f t="shared" si="10"/>
        <v>0.054340318845813806</v>
      </c>
      <c r="J60" s="40">
        <f t="shared" si="10"/>
        <v>0.055272506116483155</v>
      </c>
      <c r="K60" s="40">
        <f t="shared" si="10"/>
        <v>0.056104766245960835</v>
      </c>
    </row>
    <row r="61" spans="1:11" ht="12.75">
      <c r="A61" s="28">
        <v>1</v>
      </c>
      <c r="B61" s="40">
        <f>((((1+C60)^2)/(1+$B$60))^(1/1))-1</f>
        <v>0.04759759759759774</v>
      </c>
      <c r="C61" s="40">
        <f>((((1+D60)^3)/(1+$B$60))^(1/2))-1</f>
        <v>0.04904216418434992</v>
      </c>
      <c r="D61" s="40">
        <f>((((1+E60)^4)/(1+$B$60))^(1/3))-1</f>
        <v>0.0482693561965124</v>
      </c>
      <c r="E61" s="40">
        <f>((((1+F60)^5)/(1+$B$60))^(1/4))-1</f>
        <v>0.05182920067294239</v>
      </c>
      <c r="F61" s="40">
        <f>((((1+G60)^6)/(1+$B$60))^(1/5))-1</f>
        <v>0.0531642866034312</v>
      </c>
      <c r="G61" s="40">
        <f>((((1+H60)^7)/(1+$B$60))^(1/6))-1</f>
        <v>0.054467960384543934</v>
      </c>
      <c r="H61" s="40">
        <f>((((1+I60)^8)/(1+$B$60))^(1/7))-1</f>
        <v>0.055602097176545184</v>
      </c>
      <c r="I61" s="40">
        <f>((((1+J60)^9)/(1+$B$60))^(1/8))-1</f>
        <v>0.05649415909721056</v>
      </c>
      <c r="J61" s="40">
        <f>((((1+K60)^10)/(1+$B$60))^(1/9))-1</f>
        <v>0.05728407561647386</v>
      </c>
      <c r="K61" s="40"/>
    </row>
    <row r="62" spans="1:11" ht="12.75">
      <c r="A62" s="28">
        <v>2</v>
      </c>
      <c r="B62" s="40">
        <f>((((1+D60)^3)/(1+$C$60)^2)^(1/1))-1</f>
        <v>0.050488722731209634</v>
      </c>
      <c r="C62" s="40">
        <f>((((1+E60)^4)/(1+$C$60)^2)^(1/2))-1</f>
        <v>0.04860539701244804</v>
      </c>
      <c r="D62" s="40">
        <f>((((1+F60)^5)/(1+$C$60)^2)^(1/3))-1</f>
        <v>0.05324353004628346</v>
      </c>
      <c r="E62" s="40">
        <f>((((1+G60)^6)/(1+$C$60)^2)^(1/4))-1</f>
        <v>0.05456057461756947</v>
      </c>
      <c r="F62" s="40">
        <f>((((1+H60)^7)/(1+$C$60)^2)^(1/5))-1</f>
        <v>0.055847430385958186</v>
      </c>
      <c r="G62" s="40">
        <f>((((1+I60)^8)/(1+$C$60)^2)^(1/6))-1</f>
        <v>0.05694211406196836</v>
      </c>
      <c r="H62" s="40">
        <f>((((1+J60)^9)/(1+$C$60)^2)^(1/7))-1</f>
        <v>0.057771249113881096</v>
      </c>
      <c r="I62" s="40">
        <f>((((1+K60)^10)/(1+$C$60)^2)^(1/8))-1</f>
        <v>0.0585011659826562</v>
      </c>
      <c r="J62" s="40"/>
      <c r="K62" s="40"/>
    </row>
    <row r="63" spans="1:11" ht="12.75">
      <c r="A63" s="28">
        <v>3</v>
      </c>
      <c r="B63" s="40">
        <f>((((1+E60)^4)/(1+$D$60)^3)^(1/1))-1</f>
        <v>0.046725447737132386</v>
      </c>
      <c r="C63" s="40">
        <f>((((1+F60)^5)/(1+$D$60)^3)^(1/2))-1</f>
        <v>0.05462364160403865</v>
      </c>
      <c r="D63" s="40">
        <f>((((1+G60)^6)/(1+$D$60)^3)^(1/3))-1</f>
        <v>0.05592136292094474</v>
      </c>
      <c r="E63" s="40">
        <f>((((1+H60)^7)/(1+$D$60)^3)^(1/4))-1</f>
        <v>0.057191373053486316</v>
      </c>
      <c r="F63" s="40">
        <f>((((1+I60)^8)/(1+$D$60)^3)^(1/5))-1</f>
        <v>0.058237541914335056</v>
      </c>
      <c r="G63" s="40">
        <f>((((1+J60)^9)/(1+$D$60)^3)^(1/6))-1</f>
        <v>0.05898990247003022</v>
      </c>
      <c r="H63" s="40">
        <f>((((1+K60)^10)/(1+$D$60)^3)^(1/7))-1</f>
        <v>0.059650778772252</v>
      </c>
      <c r="I63" s="40"/>
      <c r="J63" s="40"/>
      <c r="K63" s="40"/>
    </row>
    <row r="64" spans="1:11" ht="12.75">
      <c r="A64" s="28">
        <v>4</v>
      </c>
      <c r="B64" s="40">
        <f>((((1+F60)^5)/(1+$E$60)^4)^(1/1))-1</f>
        <v>0.06258143225106938</v>
      </c>
      <c r="C64" s="40">
        <f>((((1+G60)^6)/(1+$E$60)^4)^(1/2))-1</f>
        <v>0.0605495725142986</v>
      </c>
      <c r="D64" s="40">
        <f>((((1+H60)^7)/(1+$E$60)^4)^(1/3))-1</f>
        <v>0.0607032180277709</v>
      </c>
      <c r="E64" s="40">
        <f>((((1+I60)^8)/(1+$E$60)^4)^(1/4))-1</f>
        <v>0.061135294495253456</v>
      </c>
      <c r="F64" s="40">
        <f>((((1+J60)^9)/(1+$E$60)^4)^(1/5))-1</f>
        <v>0.061459984094150766</v>
      </c>
      <c r="G64" s="40">
        <f>((((1+K60)^10)/(1+$E$60)^4)^(1/6))-1</f>
        <v>0.061820464983100454</v>
      </c>
      <c r="H64" s="40"/>
      <c r="I64" s="40"/>
      <c r="J64" s="40"/>
      <c r="K64" s="40"/>
    </row>
    <row r="65" spans="1:11" ht="12.75">
      <c r="A65" s="28">
        <v>5</v>
      </c>
      <c r="B65" s="40">
        <f>((((1+G60)^6)/(1+$F$60)^5)^(1/1))-1</f>
        <v>0.05852159808350521</v>
      </c>
      <c r="C65" s="40">
        <f>((((1+H60)^7)/(1+$F$60)^5)^(1/2))-1</f>
        <v>0.05976535625430435</v>
      </c>
      <c r="D65" s="40">
        <f>((((1+I60)^8)/(1+$F$60)^5)^(1/3))-1</f>
        <v>0.06065368607457011</v>
      </c>
      <c r="E65" s="40">
        <f>((((1+J60)^9)/(1+$F$60)^5)^(1/4))-1</f>
        <v>0.061179807037501144</v>
      </c>
      <c r="F65" s="40">
        <f>((((1+K60)^10)/(1+$F$60)^5)^(1/5))-1</f>
        <v>0.06166833693796825</v>
      </c>
      <c r="G65" s="40"/>
      <c r="H65" s="40"/>
      <c r="I65" s="40"/>
      <c r="J65" s="40"/>
      <c r="K65" s="40"/>
    </row>
    <row r="66" spans="1:11" ht="12.75">
      <c r="A66" s="28">
        <v>6</v>
      </c>
      <c r="B66" s="40">
        <f>((((1+H60)^7)/(1+$G$60)^6)^(1/1))-1</f>
        <v>0.0610105758354238</v>
      </c>
      <c r="C66" s="40">
        <f>((((1+I60)^8)/(1+$G$60)^6)^(1/2))-1</f>
        <v>0.061721339959662336</v>
      </c>
      <c r="D66" s="40">
        <f>((((1+J60)^9)/(1+$G$60)^6)^(1/3))-1</f>
        <v>0.062067359288237256</v>
      </c>
      <c r="E66" s="40">
        <f>((((1+K60)^10)/(1+$G$60)^6)^(1/4))-1</f>
        <v>0.06245648221104649</v>
      </c>
      <c r="F66" s="40"/>
      <c r="G66" s="40"/>
      <c r="H66" s="40"/>
      <c r="I66" s="40"/>
      <c r="J66" s="40"/>
      <c r="K66" s="40"/>
    </row>
    <row r="67" spans="1:11" ht="12.75">
      <c r="A67" s="28">
        <v>7</v>
      </c>
      <c r="B67" s="40">
        <f>((((1+I60)^8)/(1+$H$60)^7)^(1/1))-1</f>
        <v>0.06243258022019216</v>
      </c>
      <c r="C67" s="40">
        <f>((((1+J60)^9)/(1+$H$60)^7)^(1/2))-1</f>
        <v>0.06259614566408378</v>
      </c>
      <c r="D67" s="40">
        <f>((((1+K60)^10)/(1+$H$60)^7)^(1/3))-1</f>
        <v>0.06293888874334397</v>
      </c>
      <c r="E67" s="40"/>
      <c r="F67" s="40"/>
      <c r="G67" s="40"/>
      <c r="H67" s="40"/>
      <c r="I67" s="40"/>
      <c r="J67" s="40"/>
      <c r="K67" s="40"/>
    </row>
    <row r="68" spans="1:11" ht="12.75">
      <c r="A68" s="28">
        <v>8</v>
      </c>
      <c r="B68" s="40">
        <f>((((1+J60)^9)/(1+$I$60)^8)^(1/1))-1</f>
        <v>0.06275973628948317</v>
      </c>
      <c r="C68" s="40">
        <f>((((1+K60)^10)/(1+$I$60)^8)^(1/2))-1</f>
        <v>0.06319213347935371</v>
      </c>
      <c r="D68" s="40"/>
      <c r="E68" s="40"/>
      <c r="F68" s="40"/>
      <c r="G68" s="40"/>
      <c r="H68" s="40"/>
      <c r="I68" s="40"/>
      <c r="J68" s="40"/>
      <c r="K68" s="40"/>
    </row>
    <row r="69" spans="1:11" ht="12.75">
      <c r="A69" s="28">
        <v>9</v>
      </c>
      <c r="B69" s="40">
        <f>((((1+K60)^10)/(1+$J$60)^9)^(1/1))-1</f>
        <v>0.0636247065954696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>
      <c r="A70" s="28">
        <v>10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8" ht="18">
      <c r="A78" s="17" t="s">
        <v>9</v>
      </c>
    </row>
    <row r="79" spans="1:11" ht="12.75">
      <c r="A79" s="27" t="s">
        <v>6</v>
      </c>
      <c r="B79" s="28">
        <v>1</v>
      </c>
      <c r="C79" s="28">
        <v>2</v>
      </c>
      <c r="D79" s="28">
        <v>3</v>
      </c>
      <c r="E79" s="28">
        <v>4</v>
      </c>
      <c r="F79" s="28">
        <v>5</v>
      </c>
      <c r="G79" s="28">
        <v>6</v>
      </c>
      <c r="H79" s="28">
        <v>7</v>
      </c>
      <c r="I79" s="28">
        <v>8</v>
      </c>
      <c r="J79" s="28">
        <v>9</v>
      </c>
      <c r="K79" s="28">
        <v>10</v>
      </c>
    </row>
    <row r="80" ht="12.75">
      <c r="A80" s="29" t="s">
        <v>5</v>
      </c>
    </row>
    <row r="81" spans="1:11" ht="12.75">
      <c r="A81" s="28">
        <v>0</v>
      </c>
      <c r="B81" s="40">
        <f>((1-B23)/SUM(B23:B23))</f>
        <v>0.045549999999999966</v>
      </c>
      <c r="C81" s="40">
        <f>((1-C23)/SUM($B23:C23))</f>
        <v>0.046550000000000105</v>
      </c>
      <c r="D81" s="40">
        <f>((1-D23)/SUM($B23:D23))</f>
        <v>0.0478000000000001</v>
      </c>
      <c r="E81" s="40">
        <f>((1-E23)/SUM($B23:E23))</f>
        <v>0.047550000000000016</v>
      </c>
      <c r="F81" s="40">
        <f>((1-F23)/SUM($B23:F23))</f>
        <v>0.050249999999999864</v>
      </c>
      <c r="G81" s="40">
        <f>((1-G23)/SUM($B23:G23))</f>
        <v>0.05144999999999998</v>
      </c>
      <c r="H81" s="40">
        <f>((1-H23)/SUM($B23:H23))</f>
        <v>0.05259999999999997</v>
      </c>
      <c r="I81" s="40">
        <f>((1-I23)/SUM($B23:I23))</f>
        <v>0.05360000000000011</v>
      </c>
      <c r="J81" s="40">
        <f>((1-J23)/SUM($B23:J23))</f>
        <v>0.05440000000000005</v>
      </c>
      <c r="K81" s="40">
        <f>((1-K23)/SUM($B23:K23))</f>
        <v>0.055099999999999955</v>
      </c>
    </row>
    <row r="82" spans="1:11" ht="12.75">
      <c r="A82" s="28">
        <v>1</v>
      </c>
      <c r="B82" s="40">
        <f>((1-B24)/SUM($B24:B24))</f>
        <v>0.04759759759759787</v>
      </c>
      <c r="C82" s="40">
        <f>((1-C24)/SUM($B24:C24))</f>
        <v>0.04900756640238166</v>
      </c>
      <c r="D82" s="40">
        <f>((1-D24)/SUM($B24:D24))</f>
        <v>0.048282232013083334</v>
      </c>
      <c r="E82" s="40">
        <f>((1-E24)/SUM($B24:E24))</f>
        <v>0.051574552151298254</v>
      </c>
      <c r="F82" s="40">
        <f>((1-F24)/SUM($B24:F24))</f>
        <v>0.0528156790582631</v>
      </c>
      <c r="G82" s="40">
        <f>((1-G24)/SUM($B24:G24))</f>
        <v>0.05399669251177207</v>
      </c>
      <c r="H82" s="40">
        <f>((1-H24)/SUM($B24:H24))</f>
        <v>0.055004314033821014</v>
      </c>
      <c r="I82" s="40">
        <f>((1-I24)/SUM($B24:I24))</f>
        <v>0.055787887160417646</v>
      </c>
      <c r="J82" s="40">
        <f>((1-J24)/SUM($B24:J24))</f>
        <v>0.05646773963102245</v>
      </c>
      <c r="K82" s="40"/>
    </row>
    <row r="83" spans="1:11" ht="12.75">
      <c r="A83" s="28">
        <v>2</v>
      </c>
      <c r="B83" s="40">
        <f>((1-B25)/SUM($B25:B25))</f>
        <v>0.05048872273120984</v>
      </c>
      <c r="C83" s="40">
        <f>((1-C25)/SUM($B25:C25))</f>
        <v>0.04865004182838609</v>
      </c>
      <c r="D83" s="40">
        <f>((1-D25)/SUM($B25:D25))</f>
        <v>0.053038140529768234</v>
      </c>
      <c r="E83" s="40">
        <f>((1-E25)/SUM($B25:E25))</f>
        <v>0.05429563905099835</v>
      </c>
      <c r="F83" s="40">
        <f>((1-F25)/SUM($B25:F25))</f>
        <v>0.055489055365869726</v>
      </c>
      <c r="G83" s="40">
        <f>((1-G25)/SUM($B25:G25))</f>
        <v>0.056484123793248985</v>
      </c>
      <c r="H83" s="40">
        <f>((1-H25)/SUM($B25:H25))</f>
        <v>0.057229811652989904</v>
      </c>
      <c r="I83" s="40">
        <f>((1-I25)/SUM($B25:I25))</f>
        <v>0.05787242890410384</v>
      </c>
      <c r="J83" s="40"/>
      <c r="K83" s="40"/>
    </row>
    <row r="84" spans="1:11" ht="12.75">
      <c r="A84" s="28">
        <v>3</v>
      </c>
      <c r="B84" s="40">
        <f>((1-B26)/SUM($B26:B26))</f>
        <v>0.0467254477371322</v>
      </c>
      <c r="C84" s="40">
        <f>((1-C26)/SUM($B26:C26))</f>
        <v>0.05441289428639734</v>
      </c>
      <c r="D84" s="40">
        <f>((1-D26)/SUM($B26:D26))</f>
        <v>0.055703605367444814</v>
      </c>
      <c r="E84" s="40">
        <f>((1-E26)/SUM($B26:E26))</f>
        <v>0.05691593410620732</v>
      </c>
      <c r="F84" s="40">
        <f>((1-F26)/SUM($B26:F26))</f>
        <v>0.057892193441437416</v>
      </c>
      <c r="G84" s="40">
        <f>((1-G26)/SUM($B26:G26))</f>
        <v>0.05858701647377622</v>
      </c>
      <c r="H84" s="40">
        <f>((1-H26)/SUM($B26:H26))</f>
        <v>0.05918311086212811</v>
      </c>
      <c r="I84" s="40"/>
      <c r="J84" s="40"/>
      <c r="K84" s="40"/>
    </row>
    <row r="85" spans="1:11" ht="12.75">
      <c r="A85" s="28">
        <v>4</v>
      </c>
      <c r="B85" s="40">
        <f>((1-B27)/SUM($B27:B27))</f>
        <v>0.06258143225106895</v>
      </c>
      <c r="C85" s="40">
        <f>((1-C27)/SUM($B27:C27))</f>
        <v>0.06060922356919611</v>
      </c>
      <c r="D85" s="40">
        <f>((1-D27)/SUM($B27:D27))</f>
        <v>0.060735271935809555</v>
      </c>
      <c r="E85" s="40">
        <f>((1-E27)/SUM($B27:E27))</f>
        <v>0.06112252834603202</v>
      </c>
      <c r="F85" s="40">
        <f>((1-F27)/SUM($B27:F27))</f>
        <v>0.06141189119645206</v>
      </c>
      <c r="G85" s="40">
        <f>((1-G27)/SUM($B27:G27))</f>
        <v>0.0617271985752021</v>
      </c>
      <c r="H85" s="40"/>
      <c r="I85" s="40"/>
      <c r="J85" s="40"/>
      <c r="K85" s="40"/>
    </row>
    <row r="86" spans="1:11" ht="12.75">
      <c r="A86" s="28">
        <v>5</v>
      </c>
      <c r="B86" s="40">
        <f>((1-B28)/SUM($B28:B28))</f>
        <v>0.05852159808350574</v>
      </c>
      <c r="C86" s="40">
        <f>((1-C28)/SUM($B28:C28))</f>
        <v>0.059729247273228356</v>
      </c>
      <c r="D86" s="40">
        <f>((1-D28)/SUM($B28:D28))</f>
        <v>0.060576770815545106</v>
      </c>
      <c r="E86" s="40">
        <f>((1-E28)/SUM($B28:E28))</f>
        <v>0.06107404435441879</v>
      </c>
      <c r="F86" s="40">
        <f>((1-F28)/SUM($B28:F28))</f>
        <v>0.061523962251525975</v>
      </c>
      <c r="G86" s="40"/>
      <c r="H86" s="40"/>
      <c r="I86" s="40"/>
      <c r="J86" s="40"/>
      <c r="K86" s="40"/>
    </row>
    <row r="87" spans="1:11" ht="12.75">
      <c r="A87" s="28">
        <v>6</v>
      </c>
      <c r="B87" s="40">
        <f>((1-B29)/SUM($B29:B29))</f>
        <v>0.061010575835423</v>
      </c>
      <c r="C87" s="40">
        <f>((1-C29)/SUM($B29:C29))</f>
        <v>0.0617000550447833</v>
      </c>
      <c r="D87" s="40">
        <f>((1-D29)/SUM($B29:D29))</f>
        <v>0.06203204887392391</v>
      </c>
      <c r="E87" s="40">
        <f>((1-E29)/SUM($B29:E29))</f>
        <v>0.062394432280897937</v>
      </c>
      <c r="F87" s="40"/>
      <c r="G87" s="40"/>
      <c r="H87" s="40"/>
      <c r="I87" s="40"/>
      <c r="J87" s="40"/>
      <c r="K87" s="40"/>
    </row>
    <row r="88" spans="1:11" ht="12.75">
      <c r="A88" s="28">
        <v>7</v>
      </c>
      <c r="B88" s="40">
        <f>((1-B30)/SUM($B30:B30))</f>
        <v>0.06243258022019214</v>
      </c>
      <c r="C88" s="40">
        <f>((1-C30)/SUM($B30:C30))</f>
        <v>0.0625911813716185</v>
      </c>
      <c r="D88" s="40">
        <f>((1-D30)/SUM($B30:D30))</f>
        <v>0.06291476449801994</v>
      </c>
      <c r="E88" s="40"/>
      <c r="F88" s="40"/>
      <c r="G88" s="40"/>
      <c r="H88" s="40"/>
      <c r="I88" s="40"/>
      <c r="J88" s="40"/>
      <c r="K88" s="40"/>
    </row>
    <row r="89" spans="1:11" ht="12.75">
      <c r="A89" s="28">
        <v>8</v>
      </c>
      <c r="B89" s="40">
        <f>((1-B31)/SUM($B31:B31))</f>
        <v>0.06275973628948363</v>
      </c>
      <c r="C89" s="40">
        <f>((1-C31)/SUM($B31:C31))</f>
        <v>0.06317888726360245</v>
      </c>
      <c r="D89" s="40"/>
      <c r="E89" s="40"/>
      <c r="F89" s="40"/>
      <c r="G89" s="40"/>
      <c r="H89" s="40"/>
      <c r="I89" s="40"/>
      <c r="J89" s="40"/>
      <c r="K89" s="40"/>
    </row>
    <row r="90" spans="1:11" ht="12.75">
      <c r="A90" s="28">
        <v>9</v>
      </c>
      <c r="B90" s="40">
        <f>((1-B32)/SUM($B32:B32))</f>
        <v>0.0636247065954688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75">
      <c r="A91" s="28">
        <v>10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</sheetData>
  <sheetProtection password="EF20" sheet="1" objects="1" scenarios="1"/>
  <hyperlinks>
    <hyperlink ref="D7" r:id="rId1" display="zinsrisiko.de"/>
    <hyperlink ref="D8" r:id="rId2" display="banklehrstuhl.de"/>
    <hyperlink ref="D6" r:id="rId3" display="ccfb.de"/>
  </hyperlinks>
  <printOptions/>
  <pageMargins left="0.75" right="0.75" top="1" bottom="1" header="0.4921259845" footer="0.4921259845"/>
  <pageSetup horizontalDpi="600" verticalDpi="600" orientation="landscape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79"/>
  <sheetViews>
    <sheetView showRowColHeaders="0" workbookViewId="0" topLeftCell="A1">
      <selection activeCell="B9" sqref="B9"/>
    </sheetView>
  </sheetViews>
  <sheetFormatPr defaultColWidth="11.421875" defaultRowHeight="12.75"/>
  <cols>
    <col min="1" max="1" width="11.421875" style="4" customWidth="1"/>
    <col min="2" max="2" width="12.7109375" style="4" customWidth="1"/>
    <col min="3" max="3" width="11.421875" style="4" customWidth="1"/>
    <col min="4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0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>
      <c r="A2" s="1"/>
      <c r="B2" s="1"/>
      <c r="C2" s="1"/>
      <c r="D2" s="65" t="s">
        <v>42</v>
      </c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2.75">
      <c r="A4" s="1"/>
      <c r="B4" s="1"/>
      <c r="C4" s="3"/>
      <c r="D4" s="64" t="s">
        <v>39</v>
      </c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ht="12.75">
      <c r="A5" s="1"/>
      <c r="B5" s="1"/>
      <c r="C5" s="3"/>
      <c r="D5" s="64" t="s">
        <v>40</v>
      </c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B6" s="1"/>
      <c r="C6" s="3"/>
      <c r="D6" s="64" t="s">
        <v>41</v>
      </c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ht="12.75">
      <c r="A7" s="1"/>
      <c r="B7" s="1"/>
      <c r="C7" s="3"/>
      <c r="D7" s="64"/>
      <c r="E7" s="1"/>
      <c r="F7" s="1"/>
      <c r="G7" s="1"/>
      <c r="H7" s="1"/>
      <c r="I7" s="1"/>
      <c r="J7" s="1"/>
      <c r="K7" s="1"/>
      <c r="L7" s="1"/>
      <c r="M7" s="1"/>
    </row>
    <row r="8" spans="1:9" ht="12.75">
      <c r="A8" s="66"/>
      <c r="B8" s="66"/>
      <c r="C8" s="67"/>
      <c r="D8" s="66"/>
      <c r="E8" s="66"/>
      <c r="F8" s="55"/>
      <c r="G8" s="55"/>
      <c r="H8" s="55"/>
      <c r="I8" s="55"/>
    </row>
    <row r="9" spans="1:6" ht="12.75">
      <c r="A9" s="4" t="s">
        <v>11</v>
      </c>
      <c r="B9" s="62">
        <f>'CMS ohne Kapitalposition'!B9</f>
        <v>1000000</v>
      </c>
      <c r="D9" s="4" t="s">
        <v>34</v>
      </c>
      <c r="E9" s="4">
        <f>'CMS ohne Kapitalposition'!E9</f>
        <v>5</v>
      </c>
      <c r="F9" s="53" t="s">
        <v>35</v>
      </c>
    </row>
    <row r="10" spans="1:6" ht="12.75">
      <c r="A10" s="52" t="s">
        <v>20</v>
      </c>
      <c r="B10" s="56">
        <f>'CMS ohne Kapitalposition'!B10</f>
        <v>5</v>
      </c>
      <c r="C10" s="4" t="s">
        <v>38</v>
      </c>
      <c r="D10" s="4" t="s">
        <v>36</v>
      </c>
      <c r="E10" s="63" t="s">
        <v>37</v>
      </c>
      <c r="F10" s="63"/>
    </row>
    <row r="11" spans="1:6" ht="12.75">
      <c r="A11" s="52"/>
      <c r="B11" s="58">
        <v>5</v>
      </c>
      <c r="D11" s="59">
        <v>5</v>
      </c>
      <c r="E11" s="54"/>
      <c r="F11" s="54"/>
    </row>
    <row r="12" spans="1:6" ht="12.75">
      <c r="A12" s="52"/>
      <c r="B12" s="56"/>
      <c r="E12" s="54"/>
      <c r="F12" s="54"/>
    </row>
    <row r="13" spans="2:9" ht="12.75">
      <c r="B13" s="45"/>
      <c r="E13" s="11">
        <f>IF($E$9=1,$D62,IF($E$9=2,$E62,IF($E$9=3,$F62,IF($E$9=4,$G62,IF($E$9=5,$H62,0)))))</f>
        <v>0.050249999999999864</v>
      </c>
      <c r="F13" s="11">
        <f>IF($E$9=1,$D63,IF($E$9=2,$E63,IF($E$9=3,$F63,IF($E$9=4,$G63,IF($E$9=5,$H63,0)))))</f>
        <v>0.0528156790582631</v>
      </c>
      <c r="G13" s="11">
        <f>IF($E$9=1,$D64,IF($E$9=2,$E64,IF($E$9=3,$F64,IF($E$9=4,$G64,IF($E$9=5,$H64,0)))))</f>
        <v>0.055489055365869726</v>
      </c>
      <c r="H13" s="11">
        <f>IF($E$9=1,$D65,IF($E$9=2,$E65,IF($E$9=3,$F65,IF($E$9=4,$G65,IF($E$9=5,$H65,0)))))</f>
        <v>0.057892193441437416</v>
      </c>
      <c r="I13" s="11">
        <f>IF($E$9=1,$D66,IF($E$9=2,$E66,IF($E$9=3,$F66,IF($E$9=4,$G66,IF($E$9=5,$H66,0)))))</f>
        <v>0.06141189119645206</v>
      </c>
    </row>
    <row r="14" s="6" customFormat="1" ht="15"/>
    <row r="15" spans="4:14" s="6" customFormat="1" ht="15.75">
      <c r="D15" s="49" t="s">
        <v>21</v>
      </c>
      <c r="E15" s="61" t="s">
        <v>12</v>
      </c>
      <c r="F15" s="61" t="s">
        <v>13</v>
      </c>
      <c r="G15" s="61" t="s">
        <v>14</v>
      </c>
      <c r="H15" s="61" t="s">
        <v>15</v>
      </c>
      <c r="I15" s="61" t="s">
        <v>16</v>
      </c>
      <c r="J15" s="46"/>
      <c r="K15" s="46"/>
      <c r="L15" s="46"/>
      <c r="M15" s="46"/>
      <c r="N15" s="46"/>
    </row>
    <row r="16" spans="1:14" ht="15.75">
      <c r="A16" s="7" t="s">
        <v>18</v>
      </c>
      <c r="B16" s="7"/>
      <c r="C16" s="7"/>
      <c r="D16" s="48">
        <f>(E16*Zinsstrukturen!$B$14)+(F16*Zinsstrukturen!$C$14)+(G16*Zinsstrukturen!$D$14)+(H16*Zinsstrukturen!$E$14)+(I16*Zinsstrukturen!$F$14)</f>
        <v>1000000</v>
      </c>
      <c r="E16" s="55">
        <f>IF(E17&lt;$B$10,$B$9*Zinsstrukturen!$B$81,IF(E17=$B$10,$B$9*(1+Zinsstrukturen!$B$81),0))</f>
        <v>45549.99999999996</v>
      </c>
      <c r="F16" s="55">
        <f>IF(F17&lt;$B$10,$B$9*Zinsstrukturen!$B$82,IF(F17=$B$10,$B$9*(1+Zinsstrukturen!$B$82),0))</f>
        <v>47597.59759759787</v>
      </c>
      <c r="G16" s="55">
        <f>IF(G17&lt;$B$10,$B$9*Zinsstrukturen!$B$83,IF(G17=$B$10,$B$9*(1+Zinsstrukturen!$B$83),0))</f>
        <v>50488.72273120984</v>
      </c>
      <c r="H16" s="55">
        <f>IF(H17&lt;$B$10,$B$9*Zinsstrukturen!$B$84,IF(H17=$B$10,$B$9*(1+Zinsstrukturen!$B$84),0))</f>
        <v>46725.4477371322</v>
      </c>
      <c r="I16" s="55">
        <f>IF(I17&lt;$B$10,$B$9*Zinsstrukturen!$B$81,IF(I17=$B$10,$B$9*(1+Zinsstrukturen!$B$85),0))</f>
        <v>1062581.432251069</v>
      </c>
      <c r="J16" s="57"/>
      <c r="K16" s="57"/>
      <c r="L16" s="57"/>
      <c r="M16" s="57"/>
      <c r="N16" s="57"/>
    </row>
    <row r="17" spans="5:14" ht="12.75">
      <c r="E17" s="11">
        <v>1</v>
      </c>
      <c r="F17" s="11">
        <v>2</v>
      </c>
      <c r="G17" s="11">
        <v>3</v>
      </c>
      <c r="H17" s="11">
        <v>4</v>
      </c>
      <c r="I17" s="11">
        <v>5</v>
      </c>
      <c r="J17" s="11"/>
      <c r="K17" s="11"/>
      <c r="L17" s="11"/>
      <c r="M17" s="11"/>
      <c r="N17" s="11"/>
    </row>
    <row r="18" spans="1:14" ht="15.75">
      <c r="A18" s="7" t="s">
        <v>19</v>
      </c>
      <c r="B18" s="7"/>
      <c r="C18" s="7"/>
      <c r="D18" s="48">
        <f>(E18*Zinsstrukturen!$B$14)+(F18*Zinsstrukturen!$C$14)+(G18*Zinsstrukturen!$D$14)+(H18*Zinsstrukturen!$E$14)+(I18*Zinsstrukturen!$F$14)</f>
        <v>1021962.9236024198</v>
      </c>
      <c r="E18" s="55">
        <f>IF(E17&lt;$B$10,$B$9*E13,IF(E17=$B$10,$B$9*(1+E13),0))</f>
        <v>50249.99999999986</v>
      </c>
      <c r="F18" s="55">
        <f>IF(F17&lt;$B$10,$B$9*F13,IF(F17=$B$10,$B$9*(1+F13),0))</f>
        <v>52815.6790582631</v>
      </c>
      <c r="G18" s="55">
        <f>IF(G17&lt;$B$10,$B$9*G13,IF(G17=$B$10,$B$9*(1+G13),0))</f>
        <v>55489.055365869724</v>
      </c>
      <c r="H18" s="55">
        <f>IF(H17&lt;$B$10,$B$9*H13,IF(H17=$B$10,$B$9*(1+H13),0))</f>
        <v>57892.19344143742</v>
      </c>
      <c r="I18" s="55">
        <f>IF(I17&lt;$B$10,$B$9*I13,IF(I17=$B$10,$B$9*(1+I13),0))</f>
        <v>1061411.891196452</v>
      </c>
      <c r="J18" s="11"/>
      <c r="K18" s="11"/>
      <c r="L18" s="11"/>
      <c r="M18" s="11"/>
      <c r="N18" s="11"/>
    </row>
    <row r="19" spans="10:14" ht="12.75">
      <c r="J19" s="11"/>
      <c r="K19" s="11"/>
      <c r="L19" s="11"/>
      <c r="M19" s="11"/>
      <c r="N19" s="11"/>
    </row>
    <row r="20" spans="10:14" ht="12.75">
      <c r="J20" s="11"/>
      <c r="K20" s="11"/>
      <c r="L20" s="11"/>
      <c r="M20" s="11"/>
      <c r="N20" s="11"/>
    </row>
    <row r="21" spans="10:14" ht="12.75">
      <c r="J21" s="11"/>
      <c r="K21" s="11"/>
      <c r="L21" s="11"/>
      <c r="M21" s="11"/>
      <c r="N21" s="11"/>
    </row>
    <row r="22" spans="10:14" ht="12.75">
      <c r="J22" s="46"/>
      <c r="K22" s="46"/>
      <c r="L22" s="46"/>
      <c r="M22" s="46"/>
      <c r="N22" s="46"/>
    </row>
    <row r="23" spans="10:14" ht="12.75">
      <c r="J23" s="57"/>
      <c r="K23" s="57"/>
      <c r="L23" s="57"/>
      <c r="M23" s="57"/>
      <c r="N23" s="57"/>
    </row>
    <row r="24" spans="1:14" ht="15.75">
      <c r="A24" s="50" t="s">
        <v>22</v>
      </c>
      <c r="D24" s="51">
        <f>'CMS ohne Kapitalposition'!D24</f>
        <v>0.9087013494739521</v>
      </c>
      <c r="E24" s="50" t="s">
        <v>24</v>
      </c>
      <c r="J24" s="47"/>
      <c r="K24" s="47"/>
      <c r="L24" s="47"/>
      <c r="M24" s="47"/>
      <c r="N24" s="47"/>
    </row>
    <row r="25" spans="1:14" ht="15.75">
      <c r="A25" s="6"/>
      <c r="B25" s="6"/>
      <c r="C25" s="6"/>
      <c r="D25" s="49" t="s">
        <v>21</v>
      </c>
      <c r="E25" s="5" t="s">
        <v>12</v>
      </c>
      <c r="F25" s="5" t="s">
        <v>13</v>
      </c>
      <c r="G25" s="5" t="s">
        <v>14</v>
      </c>
      <c r="H25" s="5" t="s">
        <v>15</v>
      </c>
      <c r="I25" s="5" t="s">
        <v>16</v>
      </c>
      <c r="J25" s="11"/>
      <c r="K25" s="11"/>
      <c r="L25" s="11"/>
      <c r="M25" s="11"/>
      <c r="N25" s="11"/>
    </row>
    <row r="26" spans="1:9" ht="15.75">
      <c r="A26" s="7" t="s">
        <v>18</v>
      </c>
      <c r="B26" s="7"/>
      <c r="C26" s="7"/>
      <c r="D26" s="48">
        <f>(E26*Zinsstrukturen!$B$14)+(F26*Zinsstrukturen!$C$14)+(G26*Zinsstrukturen!$D$14)+(H26*Zinsstrukturen!$E$14)+(I26*Zinsstrukturen!$F$14)</f>
        <v>1000000</v>
      </c>
      <c r="E26" s="55">
        <f>IF(E27&lt;$B$10,$B$9*Zinsstrukturen!$B$81,IF(E27=$B$10,$B$9*(1+Zinsstrukturen!$B$81),0))</f>
        <v>45549.99999999996</v>
      </c>
      <c r="F26" s="55">
        <f>IF(F27&lt;$B$10,$B$9*Zinsstrukturen!$B$82,IF(F27=$B$10,$B$9*(1+Zinsstrukturen!$B$82),0))</f>
        <v>47597.59759759787</v>
      </c>
      <c r="G26" s="55">
        <f>IF(G27&lt;$B$10,$B$9*Zinsstrukturen!$B$83,IF(G27=$B$10,$B$9*(1+Zinsstrukturen!$B$83),0))</f>
        <v>50488.72273120984</v>
      </c>
      <c r="H26" s="55">
        <f>IF(H27&lt;$B$10,$B$9*Zinsstrukturen!$B$84,IF(H27=$B$10,$B$9*(1+Zinsstrukturen!$B$84),0))</f>
        <v>46725.4477371322</v>
      </c>
      <c r="I26" s="55">
        <f>IF(I27&lt;$B$10,$B$9*Zinsstrukturen!$B$81,IF(I27=$B$10,$B$9*(1+Zinsstrukturen!$B$85),0))</f>
        <v>1062581.432251069</v>
      </c>
    </row>
    <row r="27" spans="5:9" ht="12.75">
      <c r="E27" s="11">
        <v>1</v>
      </c>
      <c r="F27" s="11">
        <v>2</v>
      </c>
      <c r="G27" s="11">
        <v>3</v>
      </c>
      <c r="H27" s="11">
        <v>4</v>
      </c>
      <c r="I27" s="11">
        <v>5</v>
      </c>
    </row>
    <row r="28" spans="1:9" ht="15.75">
      <c r="A28" s="7" t="s">
        <v>19</v>
      </c>
      <c r="B28" s="7"/>
      <c r="C28" s="7"/>
      <c r="D28" s="48">
        <f>(E28*Zinsstrukturen!$B$14)+(F28*Zinsstrukturen!$C$14)+(G28*Zinsstrukturen!$D$14)+(H28*Zinsstrukturen!$E$14)+(I28*Zinsstrukturen!$F$14)</f>
        <v>1000000</v>
      </c>
      <c r="E28" s="55">
        <f>IF(E27&lt;=$B$10,$B$9*Zinsstrukturen!$F$81*D24,0)</f>
        <v>45662.24281106597</v>
      </c>
      <c r="F28" s="55">
        <f>IF(F27&lt;=$B$10,$B$9*Zinsstrukturen!$F$82*D24,0)</f>
        <v>47993.67883362683</v>
      </c>
      <c r="G28" s="55">
        <f>IF(G27&lt;=$B$10,$B$9*Zinsstrukturen!$F$83*D24,0)</f>
        <v>50422.97949200066</v>
      </c>
      <c r="H28" s="55">
        <f>IF(H27&lt;=$B$10,$B$9*Zinsstrukturen!$F$84*D24,0)</f>
        <v>52606.714304241264</v>
      </c>
      <c r="I28" s="55">
        <f>IF(I27&lt;=$B$10,$B$9*Zinsstrukturen!$F$85*D24+B9,0)</f>
        <v>1055805.0684039635</v>
      </c>
    </row>
    <row r="33" spans="1:5" ht="15.75">
      <c r="A33" s="50" t="s">
        <v>23</v>
      </c>
      <c r="D33" s="51">
        <f>'CMS ohne Kapitalposition'!D33</f>
        <v>-0.0050488</v>
      </c>
      <c r="E33" s="50" t="s">
        <v>25</v>
      </c>
    </row>
    <row r="34" spans="1:9" ht="15.75">
      <c r="A34" s="6"/>
      <c r="B34" s="6"/>
      <c r="C34" s="6"/>
      <c r="D34" s="49" t="s">
        <v>21</v>
      </c>
      <c r="E34" s="5" t="s">
        <v>12</v>
      </c>
      <c r="F34" s="5" t="s">
        <v>13</v>
      </c>
      <c r="G34" s="5" t="s">
        <v>14</v>
      </c>
      <c r="H34" s="5" t="s">
        <v>15</v>
      </c>
      <c r="I34" s="5" t="s">
        <v>16</v>
      </c>
    </row>
    <row r="35" spans="1:9" ht="15.75">
      <c r="A35" s="7" t="s">
        <v>18</v>
      </c>
      <c r="B35" s="7"/>
      <c r="C35" s="7"/>
      <c r="D35" s="48">
        <f>(E35*Zinsstrukturen!$B$14)+(F35*Zinsstrukturen!$C$14)+(G35*Zinsstrukturen!$D$14)+(H35*Zinsstrukturen!$E$14)+(I35*Zinsstrukturen!$F$14)</f>
        <v>1000000</v>
      </c>
      <c r="E35" s="55">
        <f>IF(E36&lt;=$B$10,$B$9*Zinsstrukturen!$B$81,0)</f>
        <v>45549.99999999996</v>
      </c>
      <c r="F35" s="55">
        <f>IF(F36&lt;=$B$10,$B$9*Zinsstrukturen!$B$82,0)</f>
        <v>47597.59759759787</v>
      </c>
      <c r="G35" s="55">
        <f>IF(G36&lt;=$B$10,$B$9*Zinsstrukturen!$B$83,0)</f>
        <v>50488.72273120984</v>
      </c>
      <c r="H35" s="55">
        <f>IF(H36&lt;=$B$10,$B$9*Zinsstrukturen!$B$84,0)</f>
        <v>46725.4477371322</v>
      </c>
      <c r="I35" s="55">
        <f>IF(I36&lt;=$B$10,$B$9*Zinsstrukturen!$B$85,0)+B9</f>
        <v>1062581.432251069</v>
      </c>
    </row>
    <row r="36" spans="5:9" ht="12.75">
      <c r="E36" s="11">
        <v>1</v>
      </c>
      <c r="F36" s="11">
        <v>2</v>
      </c>
      <c r="G36" s="11">
        <v>3</v>
      </c>
      <c r="H36" s="11">
        <v>4</v>
      </c>
      <c r="I36" s="11">
        <v>5</v>
      </c>
    </row>
    <row r="37" spans="1:9" ht="15.75">
      <c r="A37" s="7" t="s">
        <v>19</v>
      </c>
      <c r="B37" s="7"/>
      <c r="C37" s="7"/>
      <c r="D37" s="48">
        <f>(E37*Zinsstrukturen!$B$14)+(F37*Zinsstrukturen!$C$14)+(G37*Zinsstrukturen!$D$14)+(H37*Zinsstrukturen!$E$14)+(I37*Zinsstrukturen!$F$14)</f>
        <v>999999.5491124999</v>
      </c>
      <c r="E37" s="55">
        <f>IF(E36&lt;=$B$10,$B$9*Zinsstrukturen!$F$81+($B$9*$D$33),0)</f>
        <v>45201.19999999986</v>
      </c>
      <c r="F37" s="55">
        <f>IF(F36&lt;=$B$10,$B$9*Zinsstrukturen!$F$82+($B$9*$D$33),0)</f>
        <v>47766.8790582631</v>
      </c>
      <c r="G37" s="55">
        <f>IF(G36&lt;=$B$10,$B$9*Zinsstrukturen!$F$83+($B$9*$D$33),0)</f>
        <v>50440.25536586972</v>
      </c>
      <c r="H37" s="55">
        <f>IF(H36&lt;=$B$10,$B$9*Zinsstrukturen!$F$84+($B$9*$D$33),0)</f>
        <v>52843.393441437416</v>
      </c>
      <c r="I37" s="55">
        <f>IF(I36&lt;=$B$10,$B$9*Zinsstrukturen!$F$85+($B$9*$D$33),0)+B9</f>
        <v>1056363.091196452</v>
      </c>
    </row>
    <row r="42" spans="1:5" ht="15.75">
      <c r="A42" s="50" t="s">
        <v>26</v>
      </c>
      <c r="D42" s="51">
        <f>'CMS ohne Kapitalposition'!D42</f>
        <v>0.0050488</v>
      </c>
      <c r="E42" s="50" t="s">
        <v>27</v>
      </c>
    </row>
    <row r="43" spans="1:9" ht="15.75">
      <c r="A43" s="6"/>
      <c r="B43" s="6"/>
      <c r="C43" s="6"/>
      <c r="D43" s="49" t="s">
        <v>21</v>
      </c>
      <c r="E43" s="5" t="s">
        <v>12</v>
      </c>
      <c r="F43" s="5" t="s">
        <v>13</v>
      </c>
      <c r="G43" s="5" t="s">
        <v>14</v>
      </c>
      <c r="H43" s="5" t="s">
        <v>15</v>
      </c>
      <c r="I43" s="5" t="s">
        <v>16</v>
      </c>
    </row>
    <row r="44" spans="1:9" ht="15.75">
      <c r="A44" s="7" t="s">
        <v>18</v>
      </c>
      <c r="B44" s="7"/>
      <c r="C44" s="7"/>
      <c r="D44" s="48">
        <f>(E44*Zinsstrukturen!$B$14)+(F44*Zinsstrukturen!$C$14)+(G44*Zinsstrukturen!$D$14)+(H44*Zinsstrukturen!$E$14)+(I44*Zinsstrukturen!$F$14)</f>
        <v>1021963.37448992</v>
      </c>
      <c r="E44" s="55">
        <f>IF(E45&lt;=$B$10,$B$9*Zinsstrukturen!$B$81+($D$42*$B$9),0)</f>
        <v>50598.79999999997</v>
      </c>
      <c r="F44" s="55">
        <f>IF(F45&lt;=$B$10,$B$9*Zinsstrukturen!$B$82+($D$42*$B$9),0)</f>
        <v>52646.397597597876</v>
      </c>
      <c r="G44" s="55">
        <f>IF(G45&lt;=$B$10,$B$9*Zinsstrukturen!$B$83+($D$42*$B$9),0)</f>
        <v>55537.52273120984</v>
      </c>
      <c r="H44" s="55">
        <f>IF(H45&lt;=$B$10,$B$9*Zinsstrukturen!$B$84+($D$42*$B$9),0)</f>
        <v>51774.2477371322</v>
      </c>
      <c r="I44" s="55">
        <f>IF(I45&lt;=$B$10,$B$9*Zinsstrukturen!$B$85+($D$42*$B$9)+B9,0)</f>
        <v>1067630.232251069</v>
      </c>
    </row>
    <row r="45" spans="5:9" ht="12.75">
      <c r="E45" s="11">
        <v>1</v>
      </c>
      <c r="F45" s="11">
        <v>2</v>
      </c>
      <c r="G45" s="11">
        <v>3</v>
      </c>
      <c r="H45" s="11">
        <v>4</v>
      </c>
      <c r="I45" s="11">
        <v>5</v>
      </c>
    </row>
    <row r="46" spans="1:9" ht="15.75">
      <c r="A46" s="7" t="s">
        <v>19</v>
      </c>
      <c r="B46" s="7"/>
      <c r="C46" s="7"/>
      <c r="D46" s="48">
        <f>(E46*Zinsstrukturen!$B$14)+(F46*Zinsstrukturen!$C$14)+(G46*Zinsstrukturen!$D$14)+(H46*Zinsstrukturen!$E$14)+(I46*Zinsstrukturen!$F$14)</f>
        <v>1021962.9236024198</v>
      </c>
      <c r="E46" s="55">
        <f>IF(E45&lt;=$B$10,$B$9*Zinsstrukturen!$F$81,0)</f>
        <v>50249.99999999986</v>
      </c>
      <c r="F46" s="55">
        <f>IF(F45&lt;=$B$10,$B$9*Zinsstrukturen!$F$82,0)</f>
        <v>52815.6790582631</v>
      </c>
      <c r="G46" s="55">
        <f>IF(G45&lt;=$B$10,$B$9*Zinsstrukturen!$F$83,0)</f>
        <v>55489.055365869724</v>
      </c>
      <c r="H46" s="55">
        <f>IF(H45&lt;=$B$10,$B$9*Zinsstrukturen!$F$84,0)</f>
        <v>57892.19344143742</v>
      </c>
      <c r="I46" s="55">
        <f>IF(I45&lt;=$B$10,$B$9*Zinsstrukturen!$F$85+B9,0)</f>
        <v>1061411.891196452</v>
      </c>
    </row>
    <row r="59" s="11" customFormat="1" ht="12.75"/>
    <row r="60" s="11" customFormat="1" ht="12.75">
      <c r="D60" s="11" t="s">
        <v>28</v>
      </c>
    </row>
    <row r="61" spans="4:9" s="11" customFormat="1" ht="12.75">
      <c r="D61" s="11">
        <v>1</v>
      </c>
      <c r="E61" s="11">
        <v>2</v>
      </c>
      <c r="F61" s="11">
        <v>3</v>
      </c>
      <c r="G61" s="11">
        <v>4</v>
      </c>
      <c r="H61" s="11">
        <v>5</v>
      </c>
      <c r="I61" s="11">
        <v>6</v>
      </c>
    </row>
    <row r="62" spans="3:9" s="11" customFormat="1" ht="12.75">
      <c r="C62" s="11">
        <v>0</v>
      </c>
      <c r="D62" s="11">
        <f>Zinsstrukturen!B81</f>
        <v>0.045549999999999966</v>
      </c>
      <c r="E62" s="11">
        <f>Zinsstrukturen!C81</f>
        <v>0.046550000000000105</v>
      </c>
      <c r="F62" s="11">
        <f>Zinsstrukturen!D81</f>
        <v>0.0478000000000001</v>
      </c>
      <c r="G62" s="11">
        <f>Zinsstrukturen!E81</f>
        <v>0.047550000000000016</v>
      </c>
      <c r="H62" s="11">
        <f>Zinsstrukturen!F81</f>
        <v>0.050249999999999864</v>
      </c>
      <c r="I62" s="11">
        <f>Zinsstrukturen!G81</f>
        <v>0.05144999999999998</v>
      </c>
    </row>
    <row r="63" spans="3:9" s="11" customFormat="1" ht="12.75">
      <c r="C63" s="11">
        <v>1</v>
      </c>
      <c r="D63" s="11">
        <f>Zinsstrukturen!B82</f>
        <v>0.04759759759759787</v>
      </c>
      <c r="E63" s="11">
        <f>Zinsstrukturen!C82</f>
        <v>0.04900756640238166</v>
      </c>
      <c r="F63" s="11">
        <f>Zinsstrukturen!D82</f>
        <v>0.048282232013083334</v>
      </c>
      <c r="G63" s="11">
        <f>Zinsstrukturen!E82</f>
        <v>0.051574552151298254</v>
      </c>
      <c r="H63" s="11">
        <f>Zinsstrukturen!F82</f>
        <v>0.0528156790582631</v>
      </c>
      <c r="I63" s="11">
        <f>Zinsstrukturen!G82</f>
        <v>0.05399669251177207</v>
      </c>
    </row>
    <row r="64" spans="3:9" s="11" customFormat="1" ht="12.75">
      <c r="C64" s="11">
        <v>2</v>
      </c>
      <c r="D64" s="11">
        <f>Zinsstrukturen!B83</f>
        <v>0.05048872273120984</v>
      </c>
      <c r="E64" s="11">
        <f>Zinsstrukturen!C83</f>
        <v>0.04865004182838609</v>
      </c>
      <c r="F64" s="11">
        <f>Zinsstrukturen!D83</f>
        <v>0.053038140529768234</v>
      </c>
      <c r="G64" s="11">
        <f>Zinsstrukturen!E83</f>
        <v>0.05429563905099835</v>
      </c>
      <c r="H64" s="11">
        <f>Zinsstrukturen!F83</f>
        <v>0.055489055365869726</v>
      </c>
      <c r="I64" s="11">
        <f>Zinsstrukturen!G83</f>
        <v>0.056484123793248985</v>
      </c>
    </row>
    <row r="65" spans="3:9" s="11" customFormat="1" ht="12.75">
      <c r="C65" s="11">
        <v>3</v>
      </c>
      <c r="D65" s="11">
        <f>Zinsstrukturen!B84</f>
        <v>0.0467254477371322</v>
      </c>
      <c r="E65" s="11">
        <f>Zinsstrukturen!C84</f>
        <v>0.05441289428639734</v>
      </c>
      <c r="F65" s="11">
        <f>Zinsstrukturen!D84</f>
        <v>0.055703605367444814</v>
      </c>
      <c r="G65" s="11">
        <f>Zinsstrukturen!E84</f>
        <v>0.05691593410620732</v>
      </c>
      <c r="H65" s="11">
        <f>Zinsstrukturen!F84</f>
        <v>0.057892193441437416</v>
      </c>
      <c r="I65" s="11">
        <f>Zinsstrukturen!G84</f>
        <v>0.05858701647377622</v>
      </c>
    </row>
    <row r="66" spans="3:9" s="11" customFormat="1" ht="12.75">
      <c r="C66" s="11">
        <v>4</v>
      </c>
      <c r="D66" s="11">
        <f>Zinsstrukturen!B85</f>
        <v>0.06258143225106895</v>
      </c>
      <c r="E66" s="11">
        <f>Zinsstrukturen!C85</f>
        <v>0.06060922356919611</v>
      </c>
      <c r="F66" s="11">
        <f>Zinsstrukturen!D85</f>
        <v>0.060735271935809555</v>
      </c>
      <c r="G66" s="11">
        <f>Zinsstrukturen!E85</f>
        <v>0.06112252834603202</v>
      </c>
      <c r="H66" s="11">
        <f>Zinsstrukturen!F85</f>
        <v>0.06141189119645206</v>
      </c>
      <c r="I66" s="11">
        <f>Zinsstrukturen!G85</f>
        <v>0.0617271985752021</v>
      </c>
    </row>
    <row r="67" spans="3:9" s="11" customFormat="1" ht="12.75">
      <c r="C67" s="11">
        <v>5</v>
      </c>
      <c r="D67" s="11">
        <f>Zinsstrukturen!B86</f>
        <v>0.05852159808350574</v>
      </c>
      <c r="E67" s="11">
        <f>Zinsstrukturen!C86</f>
        <v>0.059729247273228356</v>
      </c>
      <c r="F67" s="11">
        <f>Zinsstrukturen!D86</f>
        <v>0.060576770815545106</v>
      </c>
      <c r="G67" s="11">
        <f>Zinsstrukturen!E86</f>
        <v>0.06107404435441879</v>
      </c>
      <c r="H67" s="11">
        <f>Zinsstrukturen!F86</f>
        <v>0.061523962251525975</v>
      </c>
      <c r="I67" s="11">
        <f>Zinsstrukturen!G86</f>
        <v>0</v>
      </c>
    </row>
    <row r="68" spans="3:9" s="11" customFormat="1" ht="12.75">
      <c r="C68" s="11">
        <v>6</v>
      </c>
      <c r="D68" s="11">
        <f>Zinsstrukturen!B87</f>
        <v>0.061010575835423</v>
      </c>
      <c r="E68" s="11">
        <f>Zinsstrukturen!C87</f>
        <v>0.0617000550447833</v>
      </c>
      <c r="F68" s="11">
        <f>Zinsstrukturen!D87</f>
        <v>0.06203204887392391</v>
      </c>
      <c r="G68" s="11">
        <f>Zinsstrukturen!E87</f>
        <v>0.062394432280897937</v>
      </c>
      <c r="H68" s="11">
        <f>Zinsstrukturen!F87</f>
        <v>0</v>
      </c>
      <c r="I68" s="11">
        <f>Zinsstrukturen!G87</f>
        <v>0</v>
      </c>
    </row>
    <row r="69" spans="3:9" s="11" customFormat="1" ht="12.75">
      <c r="C69" s="11">
        <v>7</v>
      </c>
      <c r="D69" s="11">
        <f>Zinsstrukturen!B88</f>
        <v>0.06243258022019214</v>
      </c>
      <c r="E69" s="11">
        <f>Zinsstrukturen!C88</f>
        <v>0.0625911813716185</v>
      </c>
      <c r="F69" s="11">
        <f>Zinsstrukturen!D88</f>
        <v>0.06291476449801994</v>
      </c>
      <c r="G69" s="11">
        <f>Zinsstrukturen!E88</f>
        <v>0</v>
      </c>
      <c r="H69" s="11">
        <f>Zinsstrukturen!F88</f>
        <v>0</v>
      </c>
      <c r="I69" s="11">
        <f>Zinsstrukturen!G88</f>
        <v>0</v>
      </c>
    </row>
    <row r="70" spans="3:9" s="11" customFormat="1" ht="12.75">
      <c r="C70" s="11">
        <v>8</v>
      </c>
      <c r="D70" s="11">
        <f>Zinsstrukturen!B89</f>
        <v>0.06275973628948363</v>
      </c>
      <c r="E70" s="11">
        <f>Zinsstrukturen!C89</f>
        <v>0.06317888726360245</v>
      </c>
      <c r="F70" s="11">
        <f>Zinsstrukturen!D89</f>
        <v>0</v>
      </c>
      <c r="G70" s="11">
        <f>Zinsstrukturen!E89</f>
        <v>0</v>
      </c>
      <c r="H70" s="11">
        <f>Zinsstrukturen!F89</f>
        <v>0</v>
      </c>
      <c r="I70" s="11">
        <f>Zinsstrukturen!G89</f>
        <v>0</v>
      </c>
    </row>
    <row r="71" spans="3:9" s="11" customFormat="1" ht="12.75">
      <c r="C71" s="11">
        <v>9</v>
      </c>
      <c r="D71" s="11">
        <f>Zinsstrukturen!B90</f>
        <v>0.0636247065954688</v>
      </c>
      <c r="E71" s="11">
        <f>Zinsstrukturen!C90</f>
        <v>0</v>
      </c>
      <c r="F71" s="11">
        <f>Zinsstrukturen!D90</f>
        <v>0</v>
      </c>
      <c r="G71" s="11">
        <f>Zinsstrukturen!E90</f>
        <v>0</v>
      </c>
      <c r="H71" s="11">
        <f>Zinsstrukturen!F90</f>
        <v>0</v>
      </c>
      <c r="I71" s="11">
        <f>Zinsstrukturen!G90</f>
        <v>0</v>
      </c>
    </row>
    <row r="72" s="11" customFormat="1" ht="12.75"/>
    <row r="73" s="11" customFormat="1" ht="12.75"/>
    <row r="74" s="11" customFormat="1" ht="12.75"/>
    <row r="75" spans="3:9" s="11" customFormat="1" ht="12.75">
      <c r="C75" s="11" t="s">
        <v>29</v>
      </c>
      <c r="D75" s="11">
        <f>H62</f>
        <v>0.050249999999999864</v>
      </c>
      <c r="E75" s="11">
        <f>H63</f>
        <v>0.0528156790582631</v>
      </c>
      <c r="F75" s="11">
        <f>H64</f>
        <v>0.055489055365869726</v>
      </c>
      <c r="G75" s="11">
        <f>H65</f>
        <v>0.057892193441437416</v>
      </c>
      <c r="H75" s="11">
        <f>H66</f>
        <v>0.06141189119645206</v>
      </c>
      <c r="I75" s="11">
        <f>H67</f>
        <v>0.061523962251525975</v>
      </c>
    </row>
    <row r="76" spans="3:9" s="11" customFormat="1" ht="12.75">
      <c r="C76" s="11" t="s">
        <v>30</v>
      </c>
      <c r="D76" s="11">
        <f>G62</f>
        <v>0.047550000000000016</v>
      </c>
      <c r="E76" s="11">
        <f>G63</f>
        <v>0.051574552151298254</v>
      </c>
      <c r="F76" s="11">
        <f>G64</f>
        <v>0.05429563905099835</v>
      </c>
      <c r="G76" s="11">
        <f>G65</f>
        <v>0.05691593410620732</v>
      </c>
      <c r="H76" s="11">
        <f>G66</f>
        <v>0.06112252834603202</v>
      </c>
      <c r="I76" s="11">
        <f>G67</f>
        <v>0.06107404435441879</v>
      </c>
    </row>
    <row r="77" spans="3:9" s="11" customFormat="1" ht="12.75">
      <c r="C77" s="11" t="s">
        <v>31</v>
      </c>
      <c r="D77" s="11">
        <f>F62</f>
        <v>0.0478000000000001</v>
      </c>
      <c r="E77" s="11">
        <f>F63</f>
        <v>0.048282232013083334</v>
      </c>
      <c r="F77" s="11">
        <f>F64</f>
        <v>0.053038140529768234</v>
      </c>
      <c r="G77" s="11">
        <f>F65</f>
        <v>0.055703605367444814</v>
      </c>
      <c r="H77" s="11">
        <f>F66</f>
        <v>0.060735271935809555</v>
      </c>
      <c r="I77" s="11">
        <f>F67</f>
        <v>0.060576770815545106</v>
      </c>
    </row>
    <row r="78" spans="3:9" s="11" customFormat="1" ht="12.75">
      <c r="C78" s="11" t="s">
        <v>32</v>
      </c>
      <c r="D78" s="11">
        <f>E62</f>
        <v>0.046550000000000105</v>
      </c>
      <c r="E78" s="11">
        <f>E63</f>
        <v>0.04900756640238166</v>
      </c>
      <c r="F78" s="11">
        <f>E64</f>
        <v>0.04865004182838609</v>
      </c>
      <c r="G78" s="11">
        <f>E65</f>
        <v>0.05441289428639734</v>
      </c>
      <c r="H78" s="11">
        <f>E66</f>
        <v>0.06060922356919611</v>
      </c>
      <c r="I78" s="11">
        <f>E67</f>
        <v>0.059729247273228356</v>
      </c>
    </row>
    <row r="79" spans="3:9" s="11" customFormat="1" ht="12.75">
      <c r="C79" s="11" t="s">
        <v>33</v>
      </c>
      <c r="D79" s="11">
        <f>D62</f>
        <v>0.045549999999999966</v>
      </c>
      <c r="E79" s="11">
        <f>D63</f>
        <v>0.04759759759759787</v>
      </c>
      <c r="F79" s="11">
        <f>D64</f>
        <v>0.05048872273120984</v>
      </c>
      <c r="G79" s="11">
        <f>D65</f>
        <v>0.0467254477371322</v>
      </c>
      <c r="H79" s="11">
        <f>D66</f>
        <v>0.06258143225106895</v>
      </c>
      <c r="I79" s="11">
        <f>D67</f>
        <v>0.05852159808350574</v>
      </c>
    </row>
    <row r="80" s="11" customFormat="1" ht="12.75"/>
    <row r="81" s="11" customFormat="1" ht="12.75"/>
    <row r="82" s="11" customFormat="1" ht="12.75"/>
  </sheetData>
  <sheetProtection password="EF20" sheet="1" objects="1" scenarios="1"/>
  <mergeCells count="1">
    <mergeCell ref="E10:F10"/>
  </mergeCells>
  <hyperlinks>
    <hyperlink ref="D5" r:id="rId1" display="zinsrisiko.de"/>
    <hyperlink ref="D6" r:id="rId2" display="banklehrstuhl.de"/>
    <hyperlink ref="D4" r:id="rId3" display="ccfb.de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N79"/>
  <sheetViews>
    <sheetView showRowColHeaders="0" tabSelected="1" workbookViewId="0" topLeftCell="A1">
      <selection activeCell="B9" sqref="B9"/>
    </sheetView>
  </sheetViews>
  <sheetFormatPr defaultColWidth="11.421875" defaultRowHeight="12.75"/>
  <cols>
    <col min="1" max="1" width="11.421875" style="4" customWidth="1"/>
    <col min="2" max="2" width="12.7109375" style="4" customWidth="1"/>
    <col min="3" max="3" width="11.421875" style="4" customWidth="1"/>
    <col min="4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0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>
      <c r="A2" s="1"/>
      <c r="B2" s="1"/>
      <c r="C2" s="1"/>
      <c r="D2" s="65" t="s">
        <v>42</v>
      </c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2.75">
      <c r="A4" s="1"/>
      <c r="B4" s="1"/>
      <c r="C4" s="3"/>
      <c r="D4" s="64" t="s">
        <v>39</v>
      </c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ht="12.75">
      <c r="A5" s="1"/>
      <c r="B5" s="1"/>
      <c r="C5" s="3"/>
      <c r="D5" s="64" t="s">
        <v>40</v>
      </c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B6" s="1"/>
      <c r="C6" s="3"/>
      <c r="D6" s="64" t="s">
        <v>41</v>
      </c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ht="12.75">
      <c r="A7" s="1"/>
      <c r="B7" s="1"/>
      <c r="C7" s="3"/>
      <c r="D7" s="64"/>
      <c r="E7" s="1"/>
      <c r="F7" s="1"/>
      <c r="G7" s="1"/>
      <c r="H7" s="1"/>
      <c r="I7" s="1"/>
      <c r="J7" s="1"/>
      <c r="K7" s="1"/>
      <c r="L7" s="1"/>
      <c r="M7" s="1"/>
    </row>
    <row r="8" spans="4:9" ht="12.75">
      <c r="D8" s="8"/>
      <c r="E8" s="55"/>
      <c r="F8" s="55"/>
      <c r="G8" s="55"/>
      <c r="H8" s="55"/>
      <c r="I8" s="55"/>
    </row>
    <row r="9" spans="1:6" ht="12.75">
      <c r="A9" s="4" t="s">
        <v>11</v>
      </c>
      <c r="B9" s="60">
        <v>1000000</v>
      </c>
      <c r="D9" s="4" t="s">
        <v>34</v>
      </c>
      <c r="E9" s="69">
        <f>D11</f>
        <v>5</v>
      </c>
      <c r="F9" s="53" t="s">
        <v>35</v>
      </c>
    </row>
    <row r="10" spans="1:6" ht="12.75">
      <c r="A10" s="52" t="s">
        <v>20</v>
      </c>
      <c r="B10" s="68">
        <f>B11</f>
        <v>5</v>
      </c>
      <c r="C10" s="4" t="s">
        <v>38</v>
      </c>
      <c r="D10" s="4" t="s">
        <v>36</v>
      </c>
      <c r="E10" s="63" t="s">
        <v>37</v>
      </c>
      <c r="F10" s="63"/>
    </row>
    <row r="11" spans="1:6" ht="12.75">
      <c r="A11" s="52"/>
      <c r="B11" s="58">
        <v>5</v>
      </c>
      <c r="D11" s="59">
        <v>5</v>
      </c>
      <c r="E11" s="54"/>
      <c r="F11" s="54"/>
    </row>
    <row r="12" spans="1:6" ht="12.75">
      <c r="A12" s="52"/>
      <c r="B12" s="56"/>
      <c r="E12" s="54"/>
      <c r="F12" s="54"/>
    </row>
    <row r="13" spans="2:9" ht="12.75">
      <c r="B13" s="45"/>
      <c r="E13" s="11">
        <f>IF($E$9=1,$D62,IF($E$9=2,$E62,IF($E$9=3,$F62,IF($E$9=4,$G62,IF($E$9=5,$H62,0)))))</f>
        <v>0.050249999999999864</v>
      </c>
      <c r="F13" s="11">
        <f>IF($E$9=1,$D63,IF($E$9=2,$E63,IF($E$9=3,$F63,IF($E$9=4,$G63,IF($E$9=5,$H63,0)))))</f>
        <v>0.0528156790582631</v>
      </c>
      <c r="G13" s="11">
        <f>IF($E$9=1,$D64,IF($E$9=2,$E64,IF($E$9=3,$F64,IF($E$9=4,$G64,IF($E$9=5,$H64,0)))))</f>
        <v>0.055489055365869726</v>
      </c>
      <c r="H13" s="11">
        <f>IF($E$9=1,$D65,IF($E$9=2,$E65,IF($E$9=3,$F65,IF($E$9=4,$G65,IF($E$9=5,$H65,0)))))</f>
        <v>0.057892193441437416</v>
      </c>
      <c r="I13" s="11">
        <f>IF($E$9=1,$D66,IF($E$9=2,$E66,IF($E$9=3,$F66,IF($E$9=4,$G66,IF($E$9=5,$H66,0)))))</f>
        <v>0.06141189119645206</v>
      </c>
    </row>
    <row r="14" s="6" customFormat="1" ht="15"/>
    <row r="15" spans="4:14" s="6" customFormat="1" ht="15.75">
      <c r="D15" s="49" t="s">
        <v>21</v>
      </c>
      <c r="E15" s="61" t="s">
        <v>12</v>
      </c>
      <c r="F15" s="61" t="s">
        <v>13</v>
      </c>
      <c r="G15" s="61" t="s">
        <v>14</v>
      </c>
      <c r="H15" s="61" t="s">
        <v>15</v>
      </c>
      <c r="I15" s="61" t="s">
        <v>16</v>
      </c>
      <c r="J15" s="46"/>
      <c r="K15" s="46"/>
      <c r="L15" s="46"/>
      <c r="M15" s="46"/>
      <c r="N15" s="46"/>
    </row>
    <row r="16" spans="1:14" ht="15.75">
      <c r="A16" s="7" t="s">
        <v>18</v>
      </c>
      <c r="B16" s="7"/>
      <c r="C16" s="7"/>
      <c r="D16" s="48">
        <f>(E16*Zinsstrukturen!$B$14)+(F16*Zinsstrukturen!$C$14)+(G16*Zinsstrukturen!$D$14)+(H16*Zinsstrukturen!$E$14)+(I16*Zinsstrukturen!$F$14)</f>
        <v>218598.39330503708</v>
      </c>
      <c r="E16" s="55">
        <f>IF(E17&lt;$B$10,$B$9*Zinsstrukturen!$B$81,IF(E17=$B$10,$B$9*(Zinsstrukturen!$B$81),0))</f>
        <v>45549.99999999996</v>
      </c>
      <c r="F16" s="55">
        <f>IF(F17&lt;$B$10,$B$9*Zinsstrukturen!$B$82,IF(F17=$B$10,$B$9*(Zinsstrukturen!$B$82),0))</f>
        <v>47597.59759759787</v>
      </c>
      <c r="G16" s="55">
        <f>IF(G17&lt;$B$10,$B$9*Zinsstrukturen!$B$83,IF(G17=$B$10,$B$9*(Zinsstrukturen!$B$83),0))</f>
        <v>50488.72273120984</v>
      </c>
      <c r="H16" s="55">
        <f>IF(H17&lt;$B$10,$B$9*Zinsstrukturen!$B$84,IF(H17=$B$10,$B$9*(Zinsstrukturen!$B$84),0))</f>
        <v>46725.4477371322</v>
      </c>
      <c r="I16" s="55">
        <f>IF(I17&lt;$B$10,$B$9*Zinsstrukturen!$B$81,IF(I17=$B$10,$B$9*(Zinsstrukturen!$B$85),0))</f>
        <v>62581.43225106895</v>
      </c>
      <c r="J16" s="57"/>
      <c r="K16" s="57"/>
      <c r="L16" s="57"/>
      <c r="M16" s="57"/>
      <c r="N16" s="57"/>
    </row>
    <row r="17" spans="5:14" ht="12.75">
      <c r="E17" s="11">
        <v>1</v>
      </c>
      <c r="F17" s="11">
        <v>2</v>
      </c>
      <c r="G17" s="11">
        <v>3</v>
      </c>
      <c r="H17" s="11">
        <v>4</v>
      </c>
      <c r="I17" s="11">
        <v>5</v>
      </c>
      <c r="J17" s="11"/>
      <c r="K17" s="11"/>
      <c r="L17" s="11"/>
      <c r="M17" s="11"/>
      <c r="N17" s="11"/>
    </row>
    <row r="18" spans="1:14" ht="15.75">
      <c r="A18" s="7" t="s">
        <v>19</v>
      </c>
      <c r="B18" s="7"/>
      <c r="C18" s="7"/>
      <c r="D18" s="48">
        <f>(E18*Zinsstrukturen!$B$14)+(F18*Zinsstrukturen!$C$14)+(G18*Zinsstrukturen!$D$14)+(H18*Zinsstrukturen!$E$14)+(I18*Zinsstrukturen!$F$14)</f>
        <v>240561.31690745684</v>
      </c>
      <c r="E18" s="55">
        <f>IF(E17&lt;$B$10,$B$9*E13,IF(E17=$B$10,$B$9*(E13),0))</f>
        <v>50249.99999999986</v>
      </c>
      <c r="F18" s="55">
        <f>IF(F17&lt;$B$10,$B$9*F13,IF(F17=$B$10,$B$9*(F13),0))</f>
        <v>52815.6790582631</v>
      </c>
      <c r="G18" s="55">
        <f>IF(G17&lt;$B$10,$B$9*G13,IF(G17=$B$10,$B$9*(G13),0))</f>
        <v>55489.055365869724</v>
      </c>
      <c r="H18" s="55">
        <f>IF(H17&lt;$B$10,$B$9*H13,IF(H17=$B$10,$B$9*(H13),0))</f>
        <v>57892.19344143742</v>
      </c>
      <c r="I18" s="55">
        <f>IF(I17&lt;$B$10,$B$9*I13,IF(I17=$B$10,$B$9*(I13),0))</f>
        <v>61411.89119645206</v>
      </c>
      <c r="J18" s="11"/>
      <c r="K18" s="11"/>
      <c r="L18" s="11"/>
      <c r="M18" s="11"/>
      <c r="N18" s="11"/>
    </row>
    <row r="19" spans="10:14" ht="12.75">
      <c r="J19" s="11"/>
      <c r="K19" s="11"/>
      <c r="L19" s="11"/>
      <c r="M19" s="11"/>
      <c r="N19" s="11"/>
    </row>
    <row r="20" spans="10:14" ht="12.75">
      <c r="J20" s="11"/>
      <c r="K20" s="11"/>
      <c r="L20" s="11"/>
      <c r="M20" s="11"/>
      <c r="N20" s="11"/>
    </row>
    <row r="21" spans="10:14" ht="12.75">
      <c r="J21" s="11"/>
      <c r="K21" s="11"/>
      <c r="L21" s="11"/>
      <c r="M21" s="11"/>
      <c r="N21" s="11"/>
    </row>
    <row r="22" spans="10:14" ht="12.75">
      <c r="J22" s="46"/>
      <c r="K22" s="46"/>
      <c r="L22" s="46"/>
      <c r="M22" s="46"/>
      <c r="N22" s="46"/>
    </row>
    <row r="23" spans="10:14" ht="12.75">
      <c r="J23" s="57"/>
      <c r="K23" s="57"/>
      <c r="L23" s="57"/>
      <c r="M23" s="57"/>
      <c r="N23" s="57"/>
    </row>
    <row r="24" spans="1:14" ht="15.75">
      <c r="A24" s="50" t="s">
        <v>22</v>
      </c>
      <c r="D24" s="51">
        <f>D16/D18</f>
        <v>0.9087013494739521</v>
      </c>
      <c r="E24" s="50" t="s">
        <v>24</v>
      </c>
      <c r="J24" s="47"/>
      <c r="K24" s="47"/>
      <c r="L24" s="47"/>
      <c r="M24" s="47"/>
      <c r="N24" s="47"/>
    </row>
    <row r="25" spans="1:14" ht="15.75">
      <c r="A25" s="6"/>
      <c r="B25" s="6"/>
      <c r="C25" s="6"/>
      <c r="D25" s="49" t="s">
        <v>21</v>
      </c>
      <c r="E25" s="5" t="s">
        <v>12</v>
      </c>
      <c r="F25" s="5" t="s">
        <v>13</v>
      </c>
      <c r="G25" s="5" t="s">
        <v>14</v>
      </c>
      <c r="H25" s="5" t="s">
        <v>15</v>
      </c>
      <c r="I25" s="5" t="s">
        <v>16</v>
      </c>
      <c r="J25" s="11"/>
      <c r="K25" s="11"/>
      <c r="L25" s="11"/>
      <c r="M25" s="11"/>
      <c r="N25" s="11"/>
    </row>
    <row r="26" spans="1:9" ht="15.75">
      <c r="A26" s="7" t="s">
        <v>18</v>
      </c>
      <c r="B26" s="7"/>
      <c r="C26" s="7"/>
      <c r="D26" s="48">
        <f>(E26*Zinsstrukturen!$B$14)+(F26*Zinsstrukturen!$C$14)+(G26*Zinsstrukturen!$D$14)+(H26*Zinsstrukturen!$E$14)+(I26*Zinsstrukturen!$F$14)</f>
        <v>218598.39330503708</v>
      </c>
      <c r="E26" s="55">
        <f>IF(E27&lt;=$B$10,$B$9*Zinsstrukturen!$B$81,0)</f>
        <v>45549.99999999996</v>
      </c>
      <c r="F26" s="55">
        <f>IF(F27&lt;=$B$10,$B$9*Zinsstrukturen!$B$82,0)</f>
        <v>47597.59759759787</v>
      </c>
      <c r="G26" s="55">
        <f>IF(G27&lt;=$B$10,$B$9*Zinsstrukturen!$B$83,0)</f>
        <v>50488.72273120984</v>
      </c>
      <c r="H26" s="55">
        <f>IF(H27&lt;=$B$10,$B$9*Zinsstrukturen!$B$84,0)</f>
        <v>46725.4477371322</v>
      </c>
      <c r="I26" s="55">
        <f>IF(I27&lt;=$B$10,$B$9*Zinsstrukturen!$B$85,0)</f>
        <v>62581.43225106895</v>
      </c>
    </row>
    <row r="27" spans="5:9" ht="12.75">
      <c r="E27" s="11">
        <v>1</v>
      </c>
      <c r="F27" s="11">
        <v>2</v>
      </c>
      <c r="G27" s="11">
        <v>3</v>
      </c>
      <c r="H27" s="11">
        <v>4</v>
      </c>
      <c r="I27" s="11">
        <v>5</v>
      </c>
    </row>
    <row r="28" spans="1:9" ht="15.75">
      <c r="A28" s="7" t="s">
        <v>19</v>
      </c>
      <c r="B28" s="7"/>
      <c r="C28" s="7"/>
      <c r="D28" s="48">
        <f>(E28*Zinsstrukturen!$B$14)+(F28*Zinsstrukturen!$C$14)+(G28*Zinsstrukturen!$D$14)+(H28*Zinsstrukturen!$E$14)+(I28*Zinsstrukturen!$F$14)</f>
        <v>218598.39330503708</v>
      </c>
      <c r="E28" s="55">
        <f>IF(E27&lt;=$B$10,$B$9*E13*D24,0)</f>
        <v>45662.24281106597</v>
      </c>
      <c r="F28" s="55">
        <f>IF(F27&lt;=$B$10,$B$9*F13*D24,0)</f>
        <v>47993.67883362683</v>
      </c>
      <c r="G28" s="55">
        <f>IF(G27&lt;=$B$10,$B$9*G13*D24,0)</f>
        <v>50422.97949200066</v>
      </c>
      <c r="H28" s="55">
        <f>IF(H27&lt;=$B$10,$B$9*H13*D24,0)</f>
        <v>52606.714304241264</v>
      </c>
      <c r="I28" s="55">
        <f>IF(I27&lt;=$B$10,$B$9*I13*D24,0)</f>
        <v>55805.0684039635</v>
      </c>
    </row>
    <row r="33" spans="1:5" ht="15.75">
      <c r="A33" s="50" t="s">
        <v>23</v>
      </c>
      <c r="D33" s="70">
        <v>-0.0050488</v>
      </c>
      <c r="E33" s="50" t="s">
        <v>25</v>
      </c>
    </row>
    <row r="34" spans="1:9" ht="15.75">
      <c r="A34" s="6"/>
      <c r="B34" s="6"/>
      <c r="C34" s="6"/>
      <c r="D34" s="49" t="s">
        <v>21</v>
      </c>
      <c r="E34" s="5" t="s">
        <v>12</v>
      </c>
      <c r="F34" s="5" t="s">
        <v>13</v>
      </c>
      <c r="G34" s="5" t="s">
        <v>14</v>
      </c>
      <c r="H34" s="5" t="s">
        <v>15</v>
      </c>
      <c r="I34" s="5" t="s">
        <v>16</v>
      </c>
    </row>
    <row r="35" spans="1:9" ht="15.75">
      <c r="A35" s="7" t="s">
        <v>18</v>
      </c>
      <c r="B35" s="7"/>
      <c r="C35" s="7"/>
      <c r="D35" s="48">
        <f>(E35*Zinsstrukturen!$B$14)+(F35*Zinsstrukturen!$C$14)+(G35*Zinsstrukturen!$D$14)+(H35*Zinsstrukturen!$E$14)+(I35*Zinsstrukturen!$F$14)</f>
        <v>218598.39330503708</v>
      </c>
      <c r="E35" s="55">
        <f>IF(E36&lt;=$B$10,$B$9*Zinsstrukturen!$B$81,0)</f>
        <v>45549.99999999996</v>
      </c>
      <c r="F35" s="55">
        <f>IF(F36&lt;=$B$10,$B$9*Zinsstrukturen!$B$82,0)</f>
        <v>47597.59759759787</v>
      </c>
      <c r="G35" s="55">
        <f>IF(G36&lt;=$B$10,$B$9*Zinsstrukturen!$B$83,0)</f>
        <v>50488.72273120984</v>
      </c>
      <c r="H35" s="55">
        <f>IF(H36&lt;=$B$10,$B$9*Zinsstrukturen!$B$84,0)</f>
        <v>46725.4477371322</v>
      </c>
      <c r="I35" s="55">
        <f>IF(I36&lt;=$B$10,$B$9*Zinsstrukturen!$B$85,0)</f>
        <v>62581.43225106895</v>
      </c>
    </row>
    <row r="36" spans="5:9" ht="12.75">
      <c r="E36" s="11">
        <v>1</v>
      </c>
      <c r="F36" s="11">
        <v>2</v>
      </c>
      <c r="G36" s="11">
        <v>3</v>
      </c>
      <c r="H36" s="11">
        <v>4</v>
      </c>
      <c r="I36" s="11">
        <v>5</v>
      </c>
    </row>
    <row r="37" spans="1:9" ht="15.75">
      <c r="A37" s="7" t="s">
        <v>19</v>
      </c>
      <c r="B37" s="7"/>
      <c r="C37" s="7"/>
      <c r="D37" s="48">
        <f>(E37*Zinsstrukturen!$B$14)+(F37*Zinsstrukturen!$C$14)+(G37*Zinsstrukturen!$D$14)+(H37*Zinsstrukturen!$E$14)+(I37*Zinsstrukturen!$F$14)</f>
        <v>218597.94241753695</v>
      </c>
      <c r="E37" s="55">
        <f>IF(E36&lt;=$B$10,$B$9*E13+($B$9*$D$33),0)</f>
        <v>45201.19999999986</v>
      </c>
      <c r="F37" s="55">
        <f>IF(F36&lt;=$B$10,$B$9*F13+($B$9*$D$33),0)</f>
        <v>47766.8790582631</v>
      </c>
      <c r="G37" s="55">
        <f>IF(G36&lt;=$B$10,$B$9*G13+($B$9*$D$33),0)</f>
        <v>50440.25536586972</v>
      </c>
      <c r="H37" s="55">
        <f>IF(H36&lt;=$B$10,$B$9*H13+($B$9*$D$33),0)</f>
        <v>52843.393441437416</v>
      </c>
      <c r="I37" s="55">
        <f>IF(I36&lt;=$B$10,$B$9*I13+($B$9*$D$33),0)</f>
        <v>56363.09119645206</v>
      </c>
    </row>
    <row r="42" spans="1:5" ht="15.75">
      <c r="A42" s="50" t="s">
        <v>26</v>
      </c>
      <c r="D42" s="51">
        <f>-D33</f>
        <v>0.0050488</v>
      </c>
      <c r="E42" s="50" t="s">
        <v>27</v>
      </c>
    </row>
    <row r="43" spans="1:9" ht="15.75">
      <c r="A43" s="6"/>
      <c r="B43" s="6"/>
      <c r="C43" s="6"/>
      <c r="D43" s="49" t="s">
        <v>21</v>
      </c>
      <c r="E43" s="5" t="s">
        <v>12</v>
      </c>
      <c r="F43" s="5" t="s">
        <v>13</v>
      </c>
      <c r="G43" s="5" t="s">
        <v>14</v>
      </c>
      <c r="H43" s="5" t="s">
        <v>15</v>
      </c>
      <c r="I43" s="5" t="s">
        <v>16</v>
      </c>
    </row>
    <row r="44" spans="1:9" ht="15.75">
      <c r="A44" s="7" t="s">
        <v>18</v>
      </c>
      <c r="B44" s="7"/>
      <c r="C44" s="7"/>
      <c r="D44" s="48">
        <f>(E44*Zinsstrukturen!$B$14)+(F44*Zinsstrukturen!$C$14)+(G44*Zinsstrukturen!$D$14)+(H44*Zinsstrukturen!$E$14)+(I44*Zinsstrukturen!$F$14)</f>
        <v>1021963.37448992</v>
      </c>
      <c r="E44" s="55">
        <f>IF(E45&lt;=$B$10,$B$9*Zinsstrukturen!$B$81+($D$42*$B$9),0)</f>
        <v>50598.79999999997</v>
      </c>
      <c r="F44" s="55">
        <f>IF(F45&lt;=$B$10,$B$9*Zinsstrukturen!$B$82+($D$42*$B$9),0)</f>
        <v>52646.397597597876</v>
      </c>
      <c r="G44" s="55">
        <f>IF(G45&lt;=$B$10,$B$9*Zinsstrukturen!$B$83+($D$42*$B$9),0)</f>
        <v>55537.52273120984</v>
      </c>
      <c r="H44" s="55">
        <f>IF(H45&lt;=$B$10,$B$9*Zinsstrukturen!$B$84+($D$42*$B$9),0)</f>
        <v>51774.2477371322</v>
      </c>
      <c r="I44" s="55">
        <f>IF(I45&lt;=$B$10,$B$9*Zinsstrukturen!$B$85+($D$42*$B$9)+B9,0)</f>
        <v>1067630.232251069</v>
      </c>
    </row>
    <row r="45" spans="5:9" ht="12.75">
      <c r="E45" s="11">
        <v>1</v>
      </c>
      <c r="F45" s="11">
        <v>2</v>
      </c>
      <c r="G45" s="11">
        <v>3</v>
      </c>
      <c r="H45" s="11">
        <v>4</v>
      </c>
      <c r="I45" s="11">
        <v>5</v>
      </c>
    </row>
    <row r="46" spans="1:9" ht="15.75">
      <c r="A46" s="7" t="s">
        <v>19</v>
      </c>
      <c r="B46" s="7"/>
      <c r="C46" s="7"/>
      <c r="D46" s="48">
        <f>(E46*Zinsstrukturen!$B$14)+(F46*Zinsstrukturen!$C$14)+(G46*Zinsstrukturen!$D$14)+(H46*Zinsstrukturen!$E$14)+(I46*Zinsstrukturen!$F$14)</f>
        <v>1021962.9236024198</v>
      </c>
      <c r="E46" s="55">
        <f>IF(E45&lt;=$B$10,$B$9*Zinsstrukturen!$F$81,0)</f>
        <v>50249.99999999986</v>
      </c>
      <c r="F46" s="55">
        <f>IF(F45&lt;=$B$10,$B$9*Zinsstrukturen!$F$82,0)</f>
        <v>52815.6790582631</v>
      </c>
      <c r="G46" s="55">
        <f>IF(G45&lt;=$B$10,$B$9*Zinsstrukturen!$F$83,0)</f>
        <v>55489.055365869724</v>
      </c>
      <c r="H46" s="55">
        <f>IF(H45&lt;=$B$10,$B$9*Zinsstrukturen!$F$84,0)</f>
        <v>57892.19344143742</v>
      </c>
      <c r="I46" s="55">
        <f>IF(I45&lt;=$B$10,$B$9*Zinsstrukturen!$F$85+B9,0)</f>
        <v>1061411.891196452</v>
      </c>
    </row>
    <row r="59" s="11" customFormat="1" ht="12.75"/>
    <row r="60" s="11" customFormat="1" ht="12.75">
      <c r="D60" s="11" t="s">
        <v>28</v>
      </c>
    </row>
    <row r="61" spans="4:9" s="11" customFormat="1" ht="12.75">
      <c r="D61" s="11">
        <v>1</v>
      </c>
      <c r="E61" s="11">
        <v>2</v>
      </c>
      <c r="F61" s="11">
        <v>3</v>
      </c>
      <c r="G61" s="11">
        <v>4</v>
      </c>
      <c r="H61" s="11">
        <v>5</v>
      </c>
      <c r="I61" s="11">
        <v>6</v>
      </c>
    </row>
    <row r="62" spans="3:9" s="11" customFormat="1" ht="12.75">
      <c r="C62" s="11">
        <v>0</v>
      </c>
      <c r="D62" s="11">
        <f>Zinsstrukturen!B81</f>
        <v>0.045549999999999966</v>
      </c>
      <c r="E62" s="11">
        <f>Zinsstrukturen!C81</f>
        <v>0.046550000000000105</v>
      </c>
      <c r="F62" s="11">
        <f>Zinsstrukturen!D81</f>
        <v>0.0478000000000001</v>
      </c>
      <c r="G62" s="11">
        <f>Zinsstrukturen!E81</f>
        <v>0.047550000000000016</v>
      </c>
      <c r="H62" s="11">
        <f>Zinsstrukturen!F81</f>
        <v>0.050249999999999864</v>
      </c>
      <c r="I62" s="11">
        <f>Zinsstrukturen!G81</f>
        <v>0.05144999999999998</v>
      </c>
    </row>
    <row r="63" spans="3:9" s="11" customFormat="1" ht="12.75">
      <c r="C63" s="11">
        <v>1</v>
      </c>
      <c r="D63" s="11">
        <f>Zinsstrukturen!B82</f>
        <v>0.04759759759759787</v>
      </c>
      <c r="E63" s="11">
        <f>Zinsstrukturen!C82</f>
        <v>0.04900756640238166</v>
      </c>
      <c r="F63" s="11">
        <f>Zinsstrukturen!D82</f>
        <v>0.048282232013083334</v>
      </c>
      <c r="G63" s="11">
        <f>Zinsstrukturen!E82</f>
        <v>0.051574552151298254</v>
      </c>
      <c r="H63" s="11">
        <f>Zinsstrukturen!F82</f>
        <v>0.0528156790582631</v>
      </c>
      <c r="I63" s="11">
        <f>Zinsstrukturen!G82</f>
        <v>0.05399669251177207</v>
      </c>
    </row>
    <row r="64" spans="3:9" s="11" customFormat="1" ht="12.75">
      <c r="C64" s="11">
        <v>2</v>
      </c>
      <c r="D64" s="11">
        <f>Zinsstrukturen!B83</f>
        <v>0.05048872273120984</v>
      </c>
      <c r="E64" s="11">
        <f>Zinsstrukturen!C83</f>
        <v>0.04865004182838609</v>
      </c>
      <c r="F64" s="11">
        <f>Zinsstrukturen!D83</f>
        <v>0.053038140529768234</v>
      </c>
      <c r="G64" s="11">
        <f>Zinsstrukturen!E83</f>
        <v>0.05429563905099835</v>
      </c>
      <c r="H64" s="11">
        <f>Zinsstrukturen!F83</f>
        <v>0.055489055365869726</v>
      </c>
      <c r="I64" s="11">
        <f>Zinsstrukturen!G83</f>
        <v>0.056484123793248985</v>
      </c>
    </row>
    <row r="65" spans="3:9" s="11" customFormat="1" ht="12.75">
      <c r="C65" s="11">
        <v>3</v>
      </c>
      <c r="D65" s="11">
        <f>Zinsstrukturen!B84</f>
        <v>0.0467254477371322</v>
      </c>
      <c r="E65" s="11">
        <f>Zinsstrukturen!C84</f>
        <v>0.05441289428639734</v>
      </c>
      <c r="F65" s="11">
        <f>Zinsstrukturen!D84</f>
        <v>0.055703605367444814</v>
      </c>
      <c r="G65" s="11">
        <f>Zinsstrukturen!E84</f>
        <v>0.05691593410620732</v>
      </c>
      <c r="H65" s="11">
        <f>Zinsstrukturen!F84</f>
        <v>0.057892193441437416</v>
      </c>
      <c r="I65" s="11">
        <f>Zinsstrukturen!G84</f>
        <v>0.05858701647377622</v>
      </c>
    </row>
    <row r="66" spans="3:9" s="11" customFormat="1" ht="12.75">
      <c r="C66" s="11">
        <v>4</v>
      </c>
      <c r="D66" s="11">
        <f>Zinsstrukturen!B85</f>
        <v>0.06258143225106895</v>
      </c>
      <c r="E66" s="11">
        <f>Zinsstrukturen!C85</f>
        <v>0.06060922356919611</v>
      </c>
      <c r="F66" s="11">
        <f>Zinsstrukturen!D85</f>
        <v>0.060735271935809555</v>
      </c>
      <c r="G66" s="11">
        <f>Zinsstrukturen!E85</f>
        <v>0.06112252834603202</v>
      </c>
      <c r="H66" s="11">
        <f>Zinsstrukturen!F85</f>
        <v>0.06141189119645206</v>
      </c>
      <c r="I66" s="11">
        <f>Zinsstrukturen!G85</f>
        <v>0.0617271985752021</v>
      </c>
    </row>
    <row r="67" spans="3:9" s="11" customFormat="1" ht="12.75">
      <c r="C67" s="11">
        <v>5</v>
      </c>
      <c r="D67" s="11">
        <f>Zinsstrukturen!B86</f>
        <v>0.05852159808350574</v>
      </c>
      <c r="E67" s="11">
        <f>Zinsstrukturen!C86</f>
        <v>0.059729247273228356</v>
      </c>
      <c r="F67" s="11">
        <f>Zinsstrukturen!D86</f>
        <v>0.060576770815545106</v>
      </c>
      <c r="G67" s="11">
        <f>Zinsstrukturen!E86</f>
        <v>0.06107404435441879</v>
      </c>
      <c r="H67" s="11">
        <f>Zinsstrukturen!F86</f>
        <v>0.061523962251525975</v>
      </c>
      <c r="I67" s="11">
        <f>Zinsstrukturen!G86</f>
        <v>0</v>
      </c>
    </row>
    <row r="68" spans="3:9" s="11" customFormat="1" ht="12.75">
      <c r="C68" s="11">
        <v>6</v>
      </c>
      <c r="D68" s="11">
        <f>Zinsstrukturen!B87</f>
        <v>0.061010575835423</v>
      </c>
      <c r="E68" s="11">
        <f>Zinsstrukturen!C87</f>
        <v>0.0617000550447833</v>
      </c>
      <c r="F68" s="11">
        <f>Zinsstrukturen!D87</f>
        <v>0.06203204887392391</v>
      </c>
      <c r="G68" s="11">
        <f>Zinsstrukturen!E87</f>
        <v>0.062394432280897937</v>
      </c>
      <c r="H68" s="11">
        <f>Zinsstrukturen!F87</f>
        <v>0</v>
      </c>
      <c r="I68" s="11">
        <f>Zinsstrukturen!G87</f>
        <v>0</v>
      </c>
    </row>
    <row r="69" spans="3:9" s="11" customFormat="1" ht="12.75">
      <c r="C69" s="11">
        <v>7</v>
      </c>
      <c r="D69" s="11">
        <f>Zinsstrukturen!B88</f>
        <v>0.06243258022019214</v>
      </c>
      <c r="E69" s="11">
        <f>Zinsstrukturen!C88</f>
        <v>0.0625911813716185</v>
      </c>
      <c r="F69" s="11">
        <f>Zinsstrukturen!D88</f>
        <v>0.06291476449801994</v>
      </c>
      <c r="G69" s="11">
        <f>Zinsstrukturen!E88</f>
        <v>0</v>
      </c>
      <c r="H69" s="11">
        <f>Zinsstrukturen!F88</f>
        <v>0</v>
      </c>
      <c r="I69" s="11">
        <f>Zinsstrukturen!G88</f>
        <v>0</v>
      </c>
    </row>
    <row r="70" spans="3:9" s="11" customFormat="1" ht="12.75">
      <c r="C70" s="11">
        <v>8</v>
      </c>
      <c r="D70" s="11">
        <f>Zinsstrukturen!B89</f>
        <v>0.06275973628948363</v>
      </c>
      <c r="E70" s="11">
        <f>Zinsstrukturen!C89</f>
        <v>0.06317888726360245</v>
      </c>
      <c r="F70" s="11">
        <f>Zinsstrukturen!D89</f>
        <v>0</v>
      </c>
      <c r="G70" s="11">
        <f>Zinsstrukturen!E89</f>
        <v>0</v>
      </c>
      <c r="H70" s="11">
        <f>Zinsstrukturen!F89</f>
        <v>0</v>
      </c>
      <c r="I70" s="11">
        <f>Zinsstrukturen!G89</f>
        <v>0</v>
      </c>
    </row>
    <row r="71" spans="3:9" s="11" customFormat="1" ht="12.75">
      <c r="C71" s="11">
        <v>9</v>
      </c>
      <c r="D71" s="11">
        <f>Zinsstrukturen!B90</f>
        <v>0.0636247065954688</v>
      </c>
      <c r="E71" s="11">
        <f>Zinsstrukturen!C90</f>
        <v>0</v>
      </c>
      <c r="F71" s="11">
        <f>Zinsstrukturen!D90</f>
        <v>0</v>
      </c>
      <c r="G71" s="11">
        <f>Zinsstrukturen!E90</f>
        <v>0</v>
      </c>
      <c r="H71" s="11">
        <f>Zinsstrukturen!F90</f>
        <v>0</v>
      </c>
      <c r="I71" s="11">
        <f>Zinsstrukturen!G90</f>
        <v>0</v>
      </c>
    </row>
    <row r="72" s="11" customFormat="1" ht="12.75"/>
    <row r="73" s="11" customFormat="1" ht="12.75"/>
    <row r="74" s="11" customFormat="1" ht="12.75"/>
    <row r="75" spans="3:9" s="11" customFormat="1" ht="12.75">
      <c r="C75" s="11" t="s">
        <v>29</v>
      </c>
      <c r="D75" s="11">
        <f>H62</f>
        <v>0.050249999999999864</v>
      </c>
      <c r="E75" s="11">
        <f>H63</f>
        <v>0.0528156790582631</v>
      </c>
      <c r="F75" s="11">
        <f>H64</f>
        <v>0.055489055365869726</v>
      </c>
      <c r="G75" s="11">
        <f>H65</f>
        <v>0.057892193441437416</v>
      </c>
      <c r="H75" s="11">
        <f>H66</f>
        <v>0.06141189119645206</v>
      </c>
      <c r="I75" s="11">
        <f>H67</f>
        <v>0.061523962251525975</v>
      </c>
    </row>
    <row r="76" spans="3:9" s="11" customFormat="1" ht="12.75">
      <c r="C76" s="11" t="s">
        <v>30</v>
      </c>
      <c r="D76" s="11">
        <f>G62</f>
        <v>0.047550000000000016</v>
      </c>
      <c r="E76" s="11">
        <f>G63</f>
        <v>0.051574552151298254</v>
      </c>
      <c r="F76" s="11">
        <f>G64</f>
        <v>0.05429563905099835</v>
      </c>
      <c r="G76" s="11">
        <f>G65</f>
        <v>0.05691593410620732</v>
      </c>
      <c r="H76" s="11">
        <f>G66</f>
        <v>0.06112252834603202</v>
      </c>
      <c r="I76" s="11">
        <f>G67</f>
        <v>0.06107404435441879</v>
      </c>
    </row>
    <row r="77" spans="3:9" s="11" customFormat="1" ht="12.75">
      <c r="C77" s="11" t="s">
        <v>31</v>
      </c>
      <c r="D77" s="11">
        <f>F62</f>
        <v>0.0478000000000001</v>
      </c>
      <c r="E77" s="11">
        <f>F63</f>
        <v>0.048282232013083334</v>
      </c>
      <c r="F77" s="11">
        <f>F64</f>
        <v>0.053038140529768234</v>
      </c>
      <c r="G77" s="11">
        <f>F65</f>
        <v>0.055703605367444814</v>
      </c>
      <c r="H77" s="11">
        <f>F66</f>
        <v>0.060735271935809555</v>
      </c>
      <c r="I77" s="11">
        <f>F67</f>
        <v>0.060576770815545106</v>
      </c>
    </row>
    <row r="78" spans="3:9" s="11" customFormat="1" ht="12.75">
      <c r="C78" s="11" t="s">
        <v>32</v>
      </c>
      <c r="D78" s="11">
        <f>E62</f>
        <v>0.046550000000000105</v>
      </c>
      <c r="E78" s="11">
        <f>E63</f>
        <v>0.04900756640238166</v>
      </c>
      <c r="F78" s="11">
        <f>E64</f>
        <v>0.04865004182838609</v>
      </c>
      <c r="G78" s="11">
        <f>E65</f>
        <v>0.05441289428639734</v>
      </c>
      <c r="H78" s="11">
        <f>E66</f>
        <v>0.06060922356919611</v>
      </c>
      <c r="I78" s="11">
        <f>E67</f>
        <v>0.059729247273228356</v>
      </c>
    </row>
    <row r="79" spans="3:9" s="11" customFormat="1" ht="12.75">
      <c r="C79" s="11" t="s">
        <v>33</v>
      </c>
      <c r="D79" s="11">
        <f>D62</f>
        <v>0.045549999999999966</v>
      </c>
      <c r="E79" s="11">
        <f>D63</f>
        <v>0.04759759759759787</v>
      </c>
      <c r="F79" s="11">
        <f>D64</f>
        <v>0.05048872273120984</v>
      </c>
      <c r="G79" s="11">
        <f>D65</f>
        <v>0.0467254477371322</v>
      </c>
      <c r="H79" s="11">
        <f>D66</f>
        <v>0.06258143225106895</v>
      </c>
      <c r="I79" s="11">
        <f>D67</f>
        <v>0.05852159808350574</v>
      </c>
    </row>
    <row r="80" s="11" customFormat="1" ht="12.75"/>
    <row r="81" s="11" customFormat="1" ht="12.75"/>
    <row r="82" s="11" customFormat="1" ht="12.75"/>
  </sheetData>
  <sheetProtection password="EF20" sheet="1" objects="1" scenarios="1"/>
  <mergeCells count="1">
    <mergeCell ref="E10:F10"/>
  </mergeCells>
  <hyperlinks>
    <hyperlink ref="D5" r:id="rId1" display="zinsrisiko.de"/>
    <hyperlink ref="D6" r:id="rId2" display="banklehrstuhl.de"/>
    <hyperlink ref="D4" r:id="rId3" display="ccfb.de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D15" sqref="D15"/>
    </sheetView>
  </sheetViews>
  <sheetFormatPr defaultColWidth="11.421875" defaultRowHeight="12.75"/>
  <cols>
    <col min="1" max="16384" width="11.421875" style="71" customWidth="1"/>
  </cols>
  <sheetData/>
  <sheetProtection password="EF2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Unknown User</cp:lastModifiedBy>
  <cp:lastPrinted>2001-08-16T15:22:34Z</cp:lastPrinted>
  <dcterms:created xsi:type="dcterms:W3CDTF">1999-05-01T15:51:47Z</dcterms:created>
  <dcterms:modified xsi:type="dcterms:W3CDTF">2001-11-15T12:55:00Z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